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oSXshreRe1bpb6lIc8EIDOhHYtjpBNrTXB0mIhr3qE9CNg8IQWSV1Xzy/pNrgy/oiLies5kh7GSlnRNN9TPyvw==" workbookSaltValue="g6oU5MFeFx8bVYL7oAaB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E11" i="12" s="1"/>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N19" i="8"/>
  <c r="BA13" i="16"/>
  <c r="N11" i="11"/>
  <c r="ES19" i="8"/>
  <c r="L19" i="8"/>
  <c r="BM19" i="8"/>
  <c r="BK19" i="8"/>
  <c r="EP19" i="8"/>
  <c r="AL13" i="16"/>
  <c r="AJ13" i="16"/>
  <c r="S13" i="16"/>
  <c r="H18" i="16"/>
  <c r="BN18" i="16"/>
  <c r="P13" i="16"/>
  <c r="AM13" i="20"/>
  <c r="AN13" i="20"/>
  <c r="AT17" i="20"/>
  <c r="Z13" i="17"/>
  <c r="M13" i="2"/>
  <c r="N13" i="2"/>
  <c r="T13" i="12"/>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5" i="2"/>
  <c r="L17" i="2"/>
  <c r="X15" i="16"/>
  <c r="X18" i="16" s="1"/>
  <c r="V10" i="16"/>
  <c r="T13" i="16"/>
  <c r="AP13" i="16"/>
  <c r="AA9" i="16"/>
  <c r="T18" i="17"/>
  <c r="BF15" i="13"/>
  <c r="BA18" i="13"/>
  <c r="G18" i="14"/>
  <c r="AO20" i="20"/>
  <c r="AN20" i="20"/>
  <c r="H20" i="20"/>
  <c r="AM20" i="20"/>
  <c r="I20" i="20"/>
  <c r="P20" i="20"/>
  <c r="U12" i="11"/>
  <c r="AK20" i="20"/>
  <c r="AQ20" i="21"/>
  <c r="AI20" i="20"/>
  <c r="AF20" i="20"/>
  <c r="AX20" i="20"/>
  <c r="AZ20" i="20"/>
  <c r="AG20" i="20"/>
  <c r="AC20" i="20"/>
  <c r="Q20" i="20"/>
  <c r="U10" i="11"/>
  <c r="Z20" i="20"/>
  <c r="AA20" i="20"/>
  <c r="M20" i="20"/>
  <c r="F20" i="20"/>
  <c r="O20" i="20"/>
  <c r="AU20" i="20"/>
  <c r="W20" i="21"/>
  <c r="X20" i="20"/>
  <c r="AH20" i="20"/>
  <c r="E20" i="20"/>
  <c r="K20" i="20"/>
  <c r="N20" i="20"/>
  <c r="AQ20" i="20"/>
  <c r="W20" i="20"/>
  <c r="L20" i="20"/>
  <c r="U16" i="11"/>
  <c r="AI19" i="8" l="1"/>
  <c r="F17" i="17"/>
  <c r="AQ17" i="17" s="1"/>
  <c r="G17" i="3"/>
  <c r="AC19" i="8"/>
  <c r="AK19" i="8"/>
  <c r="AA19" i="8"/>
  <c r="D18" i="12"/>
  <c r="C12" i="14"/>
  <c r="K12" i="14" s="1"/>
  <c r="BG12" i="8"/>
  <c r="K12" i="7" s="1"/>
  <c r="R19" i="8"/>
  <c r="T19" i="8"/>
  <c r="BG10" i="8"/>
  <c r="K10" i="7" s="1"/>
  <c r="H9" i="7"/>
  <c r="X12" i="21"/>
  <c r="T17" i="11"/>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V9" i="16"/>
  <c r="AP16" i="20"/>
  <c r="BL9" i="11"/>
  <c r="BH17" i="16"/>
  <c r="BG10" i="11"/>
  <c r="BM16" i="11"/>
  <c r="P17" i="17"/>
  <c r="BL17" i="11"/>
  <c r="BK12" i="11"/>
  <c r="BF10" i="11"/>
  <c r="BK9" i="11"/>
  <c r="BK15" i="11"/>
  <c r="X9" i="17"/>
  <c r="AP10" i="21"/>
  <c r="BM12" i="11"/>
  <c r="BH11" i="16"/>
  <c r="F15" i="16"/>
  <c r="BL15" i="16" s="1"/>
  <c r="BG9" i="8"/>
  <c r="BE9" i="8"/>
  <c r="I9" i="7" s="1"/>
  <c r="BE12" i="8"/>
  <c r="AY13" i="13"/>
  <c r="F17" i="16"/>
  <c r="BL17" i="16" s="1"/>
  <c r="BG16" i="13"/>
  <c r="BD16" i="13"/>
  <c r="BE15" i="13"/>
  <c r="BE16" i="13"/>
  <c r="E12" i="6"/>
  <c r="BF11" i="11"/>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K10" i="12" l="1"/>
  <c r="I15" i="12"/>
  <c r="AZ19" i="11"/>
  <c r="I15" i="7"/>
  <c r="K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AV20" i="20"/>
  <c r="AW20" i="11"/>
  <c r="AV20" i="21"/>
  <c r="U17" i="11"/>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L20" i="17"/>
  <c r="K20" i="11"/>
  <c r="AH20" i="16"/>
  <c r="AT20" i="17"/>
  <c r="AF20" i="21"/>
  <c r="O20" i="11"/>
  <c r="V20" i="16"/>
  <c r="AL20" i="17"/>
  <c r="AM20" i="17"/>
  <c r="F20" i="12"/>
  <c r="AG20" i="11"/>
  <c r="AG20" i="21"/>
  <c r="R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I20" i="11"/>
  <c r="X20" i="17"/>
  <c r="BK20" i="16"/>
  <c r="AP20" i="16"/>
  <c r="AB20" i="17"/>
  <c r="R20" i="11"/>
  <c r="F20" i="21"/>
  <c r="AC20" i="11"/>
  <c r="AB20" i="21"/>
  <c r="AS20" i="21"/>
  <c r="R20" i="21"/>
  <c r="T20" i="16"/>
  <c r="AR20" i="21"/>
  <c r="E20" i="21"/>
  <c r="Q20" i="17"/>
  <c r="BE20" i="21"/>
  <c r="AF20" i="17"/>
  <c r="AI20" i="16"/>
  <c r="I20" i="12"/>
  <c r="AD20" i="17"/>
  <c r="Y20" i="11"/>
  <c r="O12" i="11"/>
  <c r="BF20" i="16"/>
  <c r="AZ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<sst xmlns="http://schemas.openxmlformats.org/spreadsheetml/2006/main" count="2094" uniqueCount="913">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</sst>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rJDnHUx1xJTTUpuEJG4xfNVE2Hnufx4GwpU2eY8HmqHqakYF2gHEjhtBAstCfdEctMRoFOyczdlHjG2fsACSQ==" saltValue="29AmtiHLxJR2bwDXDlPO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0</v>
      </c>
      <c r="F10" s="229">
        <f>IF(ISNUMBER(Datos!K10),Datos!K10," - ")</f>
        <v>3</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-0.3</v>
      </c>
      <c r="L10" s="1028">
        <f>IF(ISNUMBER(NºAsuntos!I10/NºAsuntos!G10),(NºAsuntos!I10/NºAsuntos!G10)*11," - ")</f>
        <v>25.666666666666668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28.964396284829725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0</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1365</v>
      </c>
      <c r="D16" s="228">
        <f>IF(ISNUMBER(IF(D_I="SI",Datos!I16,Datos!I16+Datos!AC16)),IF(D_I="SI",Datos!I16,Datos!I16+Datos!AC16)," - ")</f>
        <v>1405</v>
      </c>
      <c r="E16" s="229">
        <f>IF(ISNUMBER(IF(D_I="SI",Datos!J16,Datos!J16+Datos!AD16)),IF(D_I="SI",Datos!J16,Datos!J16+Datos!AD16)," - ")</f>
        <v>682</v>
      </c>
      <c r="F16" s="229">
        <f>IF(ISNUMBER(IF(D_I="SI",Datos!K16,Datos!K16+Datos!AE16)),IF(D_I="SI",Datos!K16,Datos!K16+Datos!AE16)," - ")</f>
        <v>749</v>
      </c>
      <c r="G16" s="1037" t="str">
        <f>IF(Datos!E16&lt;&gt;"",Datos!E16,Datos!D16)</f>
        <v>04</v>
      </c>
      <c r="H16" s="230">
        <f>IF(ISNUMBER(IF(D_I="SI",Datos!L16,Datos!L16+Datos!AF16)),IF(D_I="SI",Datos!L16,Datos!L16+Datos!AF16)," - ")</f>
        <v>1298</v>
      </c>
      <c r="I16" s="1047" t="str">
        <f>IF(ISNUMBER(Datos!AS16/Datos!BM16),Datos!AS16/Datos!BM16," - ")</f>
        <v xml:space="preserve"> - </v>
      </c>
      <c r="J16" s="1048">
        <f>IF(ISNUMBER(Datos!BY16/Datos!CN16),Datos!BY16/Datos!CN16," - ")</f>
        <v>0</v>
      </c>
      <c r="K16" s="233">
        <f t="shared" si="3"/>
        <v>-4.9084249084249083E-2</v>
      </c>
      <c r="L16" s="1028">
        <f>IF(ISNUMBER(NºAsuntos!I16/NºAsuntos!G16),(NºAsuntos!I16/NºAsuntos!G16)*11," - ")</f>
        <v>19.062750333778371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63</v>
      </c>
      <c r="D17" s="228">
        <f>IF(ISNUMBER(IF(D_I="SI",Datos!I17,Datos!I17+Datos!AC17)),IF(D_I="SI",Datos!I17,Datos!I17+Datos!AC17)," - ")</f>
        <v>63</v>
      </c>
      <c r="E17" s="229">
        <f>IF(ISNUMBER(IF(D_I="SI",Datos!J17,Datos!J17+Datos!AD17)),IF(D_I="SI",Datos!J17,Datos!J17+Datos!AD17)," - ")</f>
        <v>6</v>
      </c>
      <c r="F17" s="229">
        <f>IF(ISNUMBER(IF(D_I="SI",Datos!K17,Datos!K17+Datos!AE17)),IF(D_I="SI",Datos!K17,Datos!K17+Datos!AE17)," - ")</f>
        <v>27</v>
      </c>
      <c r="G17" s="1037" t="str">
        <f>IF(Datos!E17&lt;&gt;"",Datos!E17,Datos!D17)</f>
        <v>37</v>
      </c>
      <c r="H17" s="230">
        <f>IF(ISNUMBER(IF(D_I="SI",Datos!L17,Datos!L17+Datos!AF17)),IF(D_I="SI",Datos!L17,Datos!L17+Datos!AF17)," - ")</f>
        <v>42</v>
      </c>
      <c r="I17" s="1047" t="str">
        <f>IF(ISNUMBER(Datos!AS17/Datos!BM17),Datos!AS17/Datos!BM17," - ")</f>
        <v xml:space="preserve"> - </v>
      </c>
      <c r="J17" s="1048" t="str">
        <f>IF(ISNUMBER((Datos!BY17+Datos!BZ17)/Datos!CN17),(Datos!BY17+Datos!BZ17)/Datos!CN17," - ")</f>
        <v xml:space="preserve"> - </v>
      </c>
      <c r="K17" s="233">
        <f t="shared" si="3"/>
        <v>-0.33333333333333331</v>
      </c>
      <c r="L17" s="1028">
        <f>IF(ISNUMBER(NºAsuntos!I17/NºAsuntos!G17),(NºAsuntos!I17/NºAsuntos!G17)*11," - ")</f>
        <v>17.111111111111111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1428</v>
      </c>
      <c r="D18" s="1052">
        <f>SUBTOTAL(9,D15:D17)</f>
        <v>1468</v>
      </c>
      <c r="E18" s="1053">
        <f>SUBTOTAL(9,E15:E17)</f>
        <v>688</v>
      </c>
      <c r="F18" s="1053">
        <f>SUBTOTAL(9,F15:F17)</f>
        <v>776</v>
      </c>
      <c r="G18" s="1055" t="str">
        <f ca="1">INDIRECT(CONCATENATE("G",ROW()-1))</f>
        <v>37</v>
      </c>
      <c r="H18" s="1056">
        <f ca="1">SUMIF(G$14:G17,G18,H$14:H17)</f>
        <v>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1438</v>
      </c>
      <c r="D19" s="1074">
        <f>SUBTOTAL(9,D9:D18)</f>
        <v>1478</v>
      </c>
      <c r="E19" s="1075">
        <f>SUBTOTAL(9,E9:E18)</f>
        <v>688</v>
      </c>
      <c r="F19" s="1075">
        <f>SUBTOTAL(9,F9:F18)</f>
        <v>779</v>
      </c>
      <c r="G19" s="1076"/>
      <c r="H19" s="1077">
        <f ca="1">SUMIF(B9:B18,"TOTAL",H9:H18)</f>
        <v>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hD8V0iCK7nGo5yjvPLXWKlphYjKeYgmgxYfzk7bhXFpvkI6zhGqw3PeeUZkTxR+h8P9iK6yuqJvqiV2W+/u0Q==" saltValue="0GJ70AkIfiejdQ3XatIFX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IaMLHIGrQll/1f44slj9uJPkJa15oQeUc8Pn3NrjEy+AaM7D/Zaz1ZnEFT101kL/EvxQR90DEJs6I+HIesGOA==" saltValue="8eVyJsgYkyrsrdUP6MhQ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0</v>
      </c>
      <c r="K10" s="184">
        <v>3</v>
      </c>
      <c r="L10" s="184">
        <v>7</v>
      </c>
      <c r="M10" s="184">
        <v>0</v>
      </c>
      <c r="N10" s="184">
        <v>0</v>
      </c>
      <c r="O10" s="184">
        <v>0</v>
      </c>
      <c r="P10" s="184">
        <v>0</v>
      </c>
      <c r="Q10" s="184">
        <v>7</v>
      </c>
      <c r="R10" s="184">
        <v>12</v>
      </c>
      <c r="S10" s="184">
        <v>20</v>
      </c>
      <c r="T10" s="184">
        <v>11</v>
      </c>
      <c r="U10" s="184">
        <v>11</v>
      </c>
      <c r="V10" s="184">
        <v>20</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20</v>
      </c>
      <c r="AZ10" s="129">
        <f t="shared" si="0"/>
        <v>11</v>
      </c>
      <c r="BA10" s="129">
        <f t="shared" si="0"/>
        <v>11</v>
      </c>
      <c r="BB10" s="129">
        <f t="shared" si="0"/>
        <v>20</v>
      </c>
      <c r="BC10" s="125">
        <f t="shared" si="0"/>
        <v>1</v>
      </c>
      <c r="BD10" s="126">
        <f>IF(ISNUMBER(BA10/AZ10),BA10/AZ10," - ")</f>
        <v>1</v>
      </c>
      <c r="BE10" s="127">
        <f>IF(ISNUMBER(BB10/BA10),BB10/BA10, " - ")</f>
        <v>1.8181818181818181</v>
      </c>
      <c r="BF10" s="127">
        <f>IF(ISNUMBER(BC10/BA10),BC10/BA10, " - ")</f>
        <v>9.0909090909090912E-2</v>
      </c>
      <c r="BG10" s="199">
        <f>IF(ISNUMBER((AY10+AZ10)/BA10),(AY10+AZ10)/BA10," - ")</f>
        <v>2.8181818181818183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1699</v>
      </c>
      <c r="J12" s="186">
        <v>543</v>
      </c>
      <c r="K12" s="186">
        <v>607</v>
      </c>
      <c r="L12" s="186">
        <v>1634</v>
      </c>
      <c r="M12" s="186">
        <v>143</v>
      </c>
      <c r="N12" s="186">
        <v>257</v>
      </c>
      <c r="O12" s="184">
        <v>307</v>
      </c>
      <c r="P12" s="186">
        <v>125</v>
      </c>
      <c r="Q12" s="186">
        <v>79</v>
      </c>
      <c r="R12" s="186">
        <v>2464</v>
      </c>
      <c r="S12" s="186">
        <v>1299</v>
      </c>
      <c r="T12" s="186">
        <v>622</v>
      </c>
      <c r="U12" s="186">
        <v>534</v>
      </c>
      <c r="V12" s="186">
        <v>1387</v>
      </c>
      <c r="W12" s="186">
        <v>126</v>
      </c>
      <c r="X12" s="192">
        <v>252</v>
      </c>
      <c r="Y12" s="194">
        <v>75</v>
      </c>
      <c r="Z12" s="184">
        <v>31</v>
      </c>
      <c r="AA12" s="184">
        <v>39</v>
      </c>
      <c r="AB12" s="184">
        <v>67</v>
      </c>
      <c r="AC12" s="186">
        <v>0</v>
      </c>
      <c r="AD12" s="186">
        <v>0</v>
      </c>
      <c r="AE12" s="186">
        <v>0</v>
      </c>
      <c r="AF12" s="192">
        <v>0</v>
      </c>
      <c r="AG12" s="205">
        <v>39</v>
      </c>
      <c r="AH12" s="186">
        <v>35</v>
      </c>
      <c r="AI12" s="186">
        <v>32</v>
      </c>
      <c r="AJ12" s="206">
        <v>42</v>
      </c>
      <c r="AK12" s="185">
        <v>0</v>
      </c>
      <c r="AL12" s="186">
        <v>0</v>
      </c>
      <c r="AM12" s="186">
        <v>0</v>
      </c>
      <c r="AN12" s="192">
        <v>0</v>
      </c>
      <c r="AO12" s="262">
        <v>3</v>
      </c>
      <c r="AP12" s="158">
        <v>3</v>
      </c>
      <c r="AQ12" s="158">
        <v>3</v>
      </c>
      <c r="AR12" s="157">
        <v>3</v>
      </c>
      <c r="AS12" s="343" t="s">
        <v>807</v>
      </c>
      <c r="AT12" s="206"/>
      <c r="AU12" s="205"/>
      <c r="AV12" s="206"/>
      <c r="AW12" s="205"/>
      <c r="AX12" s="206"/>
      <c r="AY12" s="126">
        <f t="shared" si="1"/>
        <v>1338</v>
      </c>
      <c r="AZ12" s="127">
        <f t="shared" si="1"/>
        <v>657</v>
      </c>
      <c r="BA12" s="127">
        <f t="shared" si="1"/>
        <v>566</v>
      </c>
      <c r="BB12" s="127">
        <f t="shared" si="1"/>
        <v>1429</v>
      </c>
      <c r="BC12" s="125">
        <f>IF(ISNUMBER(X12),X12," - ")</f>
        <v>252</v>
      </c>
      <c r="BD12" s="126">
        <f t="shared" si="2"/>
        <v>0.86149162861491624</v>
      </c>
      <c r="BE12" s="127">
        <f t="shared" si="3"/>
        <v>2.5247349823321557</v>
      </c>
      <c r="BF12" s="127">
        <f t="shared" si="4"/>
        <v>0.44522968197879859</v>
      </c>
      <c r="BG12" s="199">
        <f t="shared" si="5"/>
        <v>3.5247349823321557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1709</v>
      </c>
      <c r="J13" s="187">
        <f t="shared" si="6"/>
        <v>543</v>
      </c>
      <c r="K13" s="187">
        <f t="shared" si="6"/>
        <v>610</v>
      </c>
      <c r="L13" s="187">
        <f t="shared" si="6"/>
        <v>1641</v>
      </c>
      <c r="M13" s="187">
        <f t="shared" si="6"/>
        <v>143</v>
      </c>
      <c r="N13" s="187">
        <f t="shared" si="6"/>
        <v>257</v>
      </c>
      <c r="O13" s="187">
        <f t="shared" si="6"/>
        <v>307</v>
      </c>
      <c r="P13" s="187">
        <f t="shared" si="6"/>
        <v>125</v>
      </c>
      <c r="Q13" s="187">
        <f t="shared" si="6"/>
        <v>86</v>
      </c>
      <c r="R13" s="187">
        <f t="shared" si="6"/>
        <v>2476</v>
      </c>
      <c r="S13" s="187">
        <f t="shared" si="6"/>
        <v>1319</v>
      </c>
      <c r="T13" s="187">
        <f t="shared" si="6"/>
        <v>633</v>
      </c>
      <c r="U13" s="187">
        <f t="shared" si="6"/>
        <v>545</v>
      </c>
      <c r="V13" s="187">
        <f t="shared" si="6"/>
        <v>1407</v>
      </c>
      <c r="W13" s="187">
        <f t="shared" si="6"/>
        <v>127</v>
      </c>
      <c r="X13" s="187">
        <f t="shared" si="6"/>
        <v>253</v>
      </c>
      <c r="Y13" s="187">
        <f t="shared" si="6"/>
        <v>75</v>
      </c>
      <c r="Z13" s="187">
        <f t="shared" si="6"/>
        <v>31</v>
      </c>
      <c r="AA13" s="187">
        <f t="shared" si="6"/>
        <v>39</v>
      </c>
      <c r="AB13" s="187">
        <f t="shared" si="6"/>
        <v>67</v>
      </c>
      <c r="AC13" s="187">
        <f t="shared" si="6"/>
        <v>0</v>
      </c>
      <c r="AD13" s="187">
        <f t="shared" si="6"/>
        <v>0</v>
      </c>
      <c r="AE13" s="187">
        <f t="shared" si="6"/>
        <v>0</v>
      </c>
      <c r="AF13" s="187">
        <f>SUBTOTAL(9,AF9:AF12)</f>
        <v>0</v>
      </c>
      <c r="AG13" s="187">
        <f t="shared" ref="AG13:AT13" si="7">SUBTOTAL(9,AG8:AG12)</f>
        <v>39</v>
      </c>
      <c r="AH13" s="187">
        <f t="shared" si="7"/>
        <v>35</v>
      </c>
      <c r="AI13" s="187">
        <f t="shared" si="7"/>
        <v>32</v>
      </c>
      <c r="AJ13" s="187">
        <f t="shared" si="7"/>
        <v>42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1358</v>
      </c>
      <c r="AZ13" s="187">
        <f>SUBTOTAL(9,AZ8:AZ12)</f>
        <v>668</v>
      </c>
      <c r="BA13" s="187">
        <f>SUBTOTAL(9,BA8:BA12)</f>
        <v>577</v>
      </c>
      <c r="BB13" s="187">
        <f>SUBTOTAL(9,BB8:BB12)</f>
        <v>1449</v>
      </c>
      <c r="BC13" s="187">
        <f>SUBTOTAL(9,BC8:BC12)</f>
        <v>253</v>
      </c>
      <c r="BD13" s="208">
        <f>IF(ISNUMBER(BA13/AZ13),BA13/AZ13," - ")</f>
        <v>0.86377245508982037</v>
      </c>
      <c r="BE13" s="209">
        <f>IF(ISNUMBER(BB13/BA13),BB13/BA13, " - ")</f>
        <v>2.5112651646447142</v>
      </c>
      <c r="BF13" s="209">
        <f>IF(ISNUMBER(BC13/BA13),BC13/BA13, " - ")</f>
        <v>0.43847487001733104</v>
      </c>
      <c r="BG13" s="210">
        <f>IF(ISNUMBER((AY13+AZ13)/BA13),(AY13+AZ13)/BA13," - ")</f>
        <v>3.5112651646447142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1405</v>
      </c>
      <c r="J16" s="186">
        <v>682</v>
      </c>
      <c r="K16" s="186">
        <v>749</v>
      </c>
      <c r="L16" s="186">
        <v>1298</v>
      </c>
      <c r="M16" s="186">
        <v>87</v>
      </c>
      <c r="N16" s="186">
        <v>477</v>
      </c>
      <c r="O16" s="184">
        <v>17</v>
      </c>
      <c r="P16" s="186">
        <v>23</v>
      </c>
      <c r="Q16" s="186">
        <v>19</v>
      </c>
      <c r="R16" s="186">
        <v>78</v>
      </c>
      <c r="S16" s="186">
        <v>1084</v>
      </c>
      <c r="T16" s="186">
        <v>735</v>
      </c>
      <c r="U16" s="186">
        <v>669</v>
      </c>
      <c r="V16" s="186">
        <v>1099</v>
      </c>
      <c r="W16" s="186">
        <v>87</v>
      </c>
      <c r="X16" s="192">
        <v>395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1084</v>
      </c>
      <c r="AZ16" s="127">
        <f t="shared" si="9"/>
        <v>735</v>
      </c>
      <c r="BA16" s="127">
        <f t="shared" si="9"/>
        <v>669</v>
      </c>
      <c r="BB16" s="127">
        <f t="shared" si="9"/>
        <v>1099</v>
      </c>
      <c r="BC16" s="125">
        <f>IF(ISNUMBER(W16),W16," - ")</f>
        <v>87</v>
      </c>
      <c r="BD16" s="126">
        <f t="shared" ref="BD16" si="11">IF(ISNUMBER(BA16/AZ16),BA16/AZ16," - ")</f>
        <v>0.91020408163265309</v>
      </c>
      <c r="BE16" s="127">
        <f t="shared" ref="BE16" si="12">IF(ISNUMBER(BB16/BA16),BB16/BA16, " - ")</f>
        <v>1.6427503736920777</v>
      </c>
      <c r="BF16" s="127">
        <f t="shared" ref="BF16" si="13">IF(ISNUMBER(BC16/BA16),BC16/BA16, " - ")</f>
        <v>0.13004484304932734</v>
      </c>
      <c r="BG16" s="199">
        <f t="shared" si="10"/>
        <v>2.7189835575485799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63</v>
      </c>
      <c r="J17" s="186">
        <v>6</v>
      </c>
      <c r="K17" s="186">
        <v>27</v>
      </c>
      <c r="L17" s="186">
        <v>42</v>
      </c>
      <c r="M17" s="186">
        <v>2</v>
      </c>
      <c r="N17" s="186">
        <v>7</v>
      </c>
      <c r="O17" s="186">
        <v>0</v>
      </c>
      <c r="P17" s="186">
        <v>0</v>
      </c>
      <c r="Q17" s="186">
        <v>0</v>
      </c>
      <c r="R17" s="186">
        <v>0</v>
      </c>
      <c r="S17" s="186">
        <v>112</v>
      </c>
      <c r="T17" s="186">
        <v>60</v>
      </c>
      <c r="U17" s="186">
        <v>63</v>
      </c>
      <c r="V17" s="186">
        <v>109</v>
      </c>
      <c r="W17" s="186">
        <v>4</v>
      </c>
      <c r="X17" s="192">
        <v>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112</v>
      </c>
      <c r="AZ17" s="129">
        <f t="shared" si="14"/>
        <v>60</v>
      </c>
      <c r="BA17" s="129">
        <f t="shared" si="14"/>
        <v>63</v>
      </c>
      <c r="BB17" s="129">
        <f t="shared" si="14"/>
        <v>109</v>
      </c>
      <c r="BC17" s="125">
        <f>IF(ISNUMBER(W17),W17," - ")</f>
        <v>4</v>
      </c>
      <c r="BD17" s="126">
        <f>IF(ISNUMBER(BA17/AZ17),BA17/AZ17," - ")</f>
        <v>1.05</v>
      </c>
      <c r="BE17" s="127">
        <f>IF(ISNUMBER(BB17/BA17),BB17/BA17, " - ")</f>
        <v>1.7301587301587302</v>
      </c>
      <c r="BF17" s="127">
        <f>IF(ISNUMBER(BC17/BA17),BC17/BA17, " - ")</f>
        <v>6.3492063492063489E-2</v>
      </c>
      <c r="BG17" s="199">
        <f>IF(ISNUMBER((AY17+AZ17)/BA17),(AY17+AZ17)/BA17," - ")</f>
        <v>2.7301587301587302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1468</v>
      </c>
      <c r="J18" s="187">
        <f t="shared" si="15"/>
        <v>688</v>
      </c>
      <c r="K18" s="187">
        <f t="shared" si="15"/>
        <v>776</v>
      </c>
      <c r="L18" s="187">
        <f t="shared" si="15"/>
        <v>1340</v>
      </c>
      <c r="M18" s="187">
        <f t="shared" si="15"/>
        <v>89</v>
      </c>
      <c r="N18" s="187">
        <f t="shared" si="15"/>
        <v>484</v>
      </c>
      <c r="O18" s="187">
        <f t="shared" si="15"/>
        <v>17</v>
      </c>
      <c r="P18" s="187">
        <f t="shared" si="15"/>
        <v>23</v>
      </c>
      <c r="Q18" s="187">
        <f t="shared" si="15"/>
        <v>19</v>
      </c>
      <c r="R18" s="187">
        <f t="shared" si="15"/>
        <v>78</v>
      </c>
      <c r="S18" s="187">
        <f t="shared" si="15"/>
        <v>1196</v>
      </c>
      <c r="T18" s="187">
        <f t="shared" si="15"/>
        <v>795</v>
      </c>
      <c r="U18" s="187">
        <f t="shared" si="15"/>
        <v>732</v>
      </c>
      <c r="V18" s="187">
        <f t="shared" si="15"/>
        <v>1208</v>
      </c>
      <c r="W18" s="187">
        <f t="shared" si="15"/>
        <v>91</v>
      </c>
      <c r="X18" s="187">
        <f t="shared" si="15"/>
        <v>427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1196</v>
      </c>
      <c r="AZ18" s="187">
        <f>SUBTOTAL(9,AZ14:AZ17)</f>
        <v>795</v>
      </c>
      <c r="BA18" s="187">
        <f>SUBTOTAL(9,BA14:BA17)</f>
        <v>732</v>
      </c>
      <c r="BB18" s="187">
        <f>SUBTOTAL(9,BB14:BB17)</f>
        <v>1208</v>
      </c>
      <c r="BC18" s="187">
        <f>SUBTOTAL(9,BC14:BC17)</f>
        <v>91</v>
      </c>
      <c r="BD18" s="208">
        <f>IF(ISNUMBER(BA18/AZ18),BA18/AZ18," - ")</f>
        <v>0.92075471698113209</v>
      </c>
      <c r="BE18" s="209">
        <f>IF(ISNUMBER(BB18/BA18),BB18/BA18, " - ")</f>
        <v>1.6502732240437159</v>
      </c>
      <c r="BF18" s="209">
        <f>IF(ISNUMBER(BC18/BA18),BC18/BA18, " - ")</f>
        <v>0.12431693989071038</v>
      </c>
      <c r="BG18" s="210">
        <f>IF(ISNUMBER((AY18+AZ18)/BA18),(AY18+AZ18)/BA18," - ")</f>
        <v>2.7199453551912569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3177</v>
      </c>
      <c r="J19" s="134">
        <f t="shared" si="18"/>
        <v>1231</v>
      </c>
      <c r="K19" s="134">
        <f t="shared" si="18"/>
        <v>1386</v>
      </c>
      <c r="L19" s="134">
        <f t="shared" si="18"/>
        <v>2981</v>
      </c>
      <c r="M19" s="134">
        <f t="shared" si="18"/>
        <v>232</v>
      </c>
      <c r="N19" s="134">
        <f t="shared" si="18"/>
        <v>741</v>
      </c>
      <c r="O19" s="134">
        <f t="shared" si="18"/>
        <v>324</v>
      </c>
      <c r="P19" s="134">
        <f t="shared" si="18"/>
        <v>148</v>
      </c>
      <c r="Q19" s="134">
        <f t="shared" si="18"/>
        <v>105</v>
      </c>
      <c r="R19" s="134">
        <f t="shared" si="18"/>
        <v>2554</v>
      </c>
      <c r="S19" s="134">
        <f t="shared" si="18"/>
        <v>2515</v>
      </c>
      <c r="T19" s="134">
        <f t="shared" si="18"/>
        <v>1428</v>
      </c>
      <c r="U19" s="134">
        <f t="shared" si="18"/>
        <v>1277</v>
      </c>
      <c r="V19" s="134">
        <f t="shared" si="18"/>
        <v>2615</v>
      </c>
      <c r="W19" s="134">
        <f t="shared" si="18"/>
        <v>218</v>
      </c>
      <c r="X19" s="134">
        <f t="shared" si="18"/>
        <v>680</v>
      </c>
      <c r="Y19" s="134">
        <f t="shared" si="18"/>
        <v>75</v>
      </c>
      <c r="Z19" s="134">
        <f t="shared" si="18"/>
        <v>31</v>
      </c>
      <c r="AA19" s="134">
        <f t="shared" si="18"/>
        <v>39</v>
      </c>
      <c r="AB19" s="134">
        <f t="shared" si="18"/>
        <v>67</v>
      </c>
      <c r="AC19" s="134">
        <f t="shared" si="18"/>
        <v>0</v>
      </c>
      <c r="AD19" s="134">
        <f t="shared" si="18"/>
        <v>0</v>
      </c>
      <c r="AE19" s="134">
        <f t="shared" si="18"/>
        <v>0</v>
      </c>
      <c r="AF19" s="134">
        <f t="shared" si="18"/>
        <v>0</v>
      </c>
      <c r="AG19" s="134">
        <f t="shared" si="18"/>
        <v>39</v>
      </c>
      <c r="AH19" s="134">
        <f t="shared" si="18"/>
        <v>35</v>
      </c>
      <c r="AI19" s="134">
        <f t="shared" si="18"/>
        <v>32</v>
      </c>
      <c r="AJ19" s="134">
        <f t="shared" si="18"/>
        <v>42</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2554</v>
      </c>
      <c r="AZ19" s="134">
        <f>SUBTOTAL(9,AZ9:AZ18)</f>
        <v>1463</v>
      </c>
      <c r="BA19" s="134">
        <f>SUBTOTAL(9,BA9:BA18)</f>
        <v>1309</v>
      </c>
      <c r="BB19" s="134">
        <f>SUBTOTAL(9,BB9:BB18)</f>
        <v>2657</v>
      </c>
      <c r="BC19" s="135">
        <f>SUBTOTAL(9,BC9:BC18)</f>
        <v>344</v>
      </c>
      <c r="BD19" s="216">
        <f>IF(ISNUMBER(BA19/AZ19),BA19/AZ19," - ")</f>
        <v>0.89473684210526316</v>
      </c>
      <c r="BE19" s="213">
        <f>IF(ISNUMBER(BB19/BA19),BB19/BA19, " - ")</f>
        <v>2.0297937356760887</v>
      </c>
      <c r="BF19" s="213">
        <f>IF(ISNUMBER(BC19/BA19),BC19/BA19, " - ")</f>
        <v>0.26279602750190983</v>
      </c>
      <c r="BG19" s="135">
        <f>IF(ISNUMBER((AY19+AZ19)/BA19),(AY19+AZ19)/BA19," - ")</f>
        <v>3.0687547746371275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hf1+qiGfOcmfuAsyLhapckfdDl9Y3UqALAxsi/Z5c4kHpXmYkyrLrIx3FeaOdRyOWn1MaZEiNhgEB7yIEu2iA==" saltValue="sRtmI5P4BHvbZK/OQiD4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UUdJWOa01p1KjBvXR1VzwtD9fdcwv1LFbFq7vx2MOxw4Js8rsB6VCcal3Y1vob/xqmXoonFPzzUiKD6M1PZgA==" saltValue="TpLpQJ7Qh1XxFcWp+z22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CACERES  Resumenes por Partidos Judiciales  NAVALMORAL DE LA MATA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7</v>
      </c>
      <c r="AD10" s="337"/>
      <c r="AE10" s="487"/>
      <c r="AF10" s="335">
        <f>IF(ISNUMBER(Datos!L10),Datos!L10,"-")</f>
        <v>7</v>
      </c>
      <c r="AG10" s="337"/>
      <c r="AH10" s="337"/>
      <c r="AI10" s="337"/>
      <c r="AJ10" s="337"/>
      <c r="AK10" s="337"/>
      <c r="AL10" s="482"/>
      <c r="AM10" s="338">
        <f>IF(ISNUMBER(Datos!R10),Datos!R10," - ")</f>
        <v>12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7.0000000000000009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-0.36842105263157893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v>
      </c>
      <c r="O12" s="337"/>
      <c r="P12" s="337"/>
      <c r="Q12" s="229">
        <f>IF(ISNUMBER(Datos!P12),Datos!P12,0)</f>
        <v>125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67</v>
      </c>
      <c r="AI12" s="337" t="str">
        <f>IF(ISNUMBER(Datos!CD12),Datos!CD12,"-")</f>
        <v>-</v>
      </c>
      <c r="AJ12" s="337" t="str">
        <f>IF(ISNUMBER(Datos!EN12),Datos!EN12," - ")</f>
        <v xml:space="preserve"> - </v>
      </c>
      <c r="AK12" s="337"/>
      <c r="AL12" s="482"/>
      <c r="AM12" s="338">
        <f>IF(ISNUMBER(Datos!R12),Datos!R12," - ")</f>
        <v>2464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143</v>
      </c>
      <c r="BD12" s="232">
        <f>IF(ISNUMBER(Datos!N12),Datos!N12," - ")</f>
        <v>257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1.1254355400696865</v>
      </c>
      <c r="BH12" s="263">
        <f>IF(ISNUMBER(((IF(J_V="SI",Datos!L12/Datos!K12,(Datos!L12+Datos!AB12)/(Datos!K12+Datos!AA12)))*11)/factor_trimestre),((IF(J_V="SI",Datos!L12/Datos!K12,(Datos!L12+Datos!AB12)/(Datos!K12+Datos!AA12)))*11)/factor_trimestre," - ")</f>
        <v>7.8993808049535614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1.9023986765922249E-2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31</v>
      </c>
      <c r="O13" s="903">
        <f t="shared" si="0"/>
        <v>0</v>
      </c>
      <c r="P13" s="903">
        <f t="shared" si="0"/>
        <v>0</v>
      </c>
      <c r="Q13" s="902">
        <f t="shared" si="0"/>
        <v>125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86</v>
      </c>
      <c r="AD13" s="902">
        <f t="shared" si="1"/>
        <v>0</v>
      </c>
      <c r="AE13" s="902">
        <f t="shared" si="1"/>
        <v>0</v>
      </c>
      <c r="AF13" s="902">
        <f t="shared" si="1"/>
        <v>7</v>
      </c>
      <c r="AG13" s="902">
        <f t="shared" si="1"/>
        <v>0</v>
      </c>
      <c r="AH13" s="902">
        <f t="shared" si="1"/>
        <v>67</v>
      </c>
      <c r="AI13" s="902">
        <f t="shared" si="1"/>
        <v>0</v>
      </c>
      <c r="AJ13" s="902">
        <f t="shared" si="1"/>
        <v>0</v>
      </c>
      <c r="AK13" s="902">
        <f t="shared" si="1"/>
        <v>0</v>
      </c>
      <c r="AL13" s="902">
        <f t="shared" si="1"/>
        <v>0</v>
      </c>
      <c r="AM13" s="902">
        <f t="shared" si="1"/>
        <v>2476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143</v>
      </c>
      <c r="BD13" s="902">
        <f t="shared" si="1"/>
        <v>257</v>
      </c>
      <c r="BE13" s="902">
        <f t="shared" si="1"/>
        <v>0</v>
      </c>
      <c r="BF13" s="902">
        <f t="shared" si="1"/>
        <v>0</v>
      </c>
      <c r="BG13" s="902">
        <f>IF(ISNUMBER(Datos!K13/Datos!J13),Datos!K13/Datos!J13," - ")</f>
        <v>1.1233885819521179</v>
      </c>
      <c r="BH13" s="906">
        <f>IF(ISNUMBER(((Datos!L13/Datos!K13)*11)/factor_trimestre),((Datos!L13/Datos!K13)*11)/factor_trimestre," - ")</f>
        <v>8.0704918032786885</v>
      </c>
      <c r="BI13" s="902">
        <f>IF(ISNUMBER('Resol  Asuntos'!D13/NºAsuntos!G13),'Resol  Asuntos'!D13/NºAsuntos!G13," - ")</f>
        <v>0.22033898305084745</v>
      </c>
      <c r="BJ13" s="902" t="str">
        <f>IF(ISNUMBER(Datos!CI13/Datos!CJ13),Datos!CI13/Datos!CJ13," - ")</f>
        <v xml:space="preserve"> - </v>
      </c>
      <c r="BK13" s="902">
        <f>SUBTOTAL(9,BK8:BK12)</f>
        <v>0</v>
      </c>
      <c r="BL13" s="902">
        <f>IF(ISNUMBER((I13-AB13+L13)/(F13)),(I13-AB13+L13)/(F13)," - ")</f>
        <v>-0.3</v>
      </c>
      <c r="BM13" s="907">
        <f>SUBTOTAL(9,BM9:BM12)</f>
        <v>-0.34939706586565666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1365</v>
      </c>
      <c r="G16" s="601">
        <f>IF(ISNUMBER(IF(D_I="SI",Datos!I16,Datos!I16+Datos!AC16)),IF(D_I="SI",Datos!I16,Datos!I16+Datos!AC16)," - ")</f>
        <v>1405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749</v>
      </c>
      <c r="AC16" s="229">
        <f>IF(ISNUMBER(Datos!Q16),Datos!Q16," - ")</f>
        <v>19</v>
      </c>
      <c r="AD16" s="337"/>
      <c r="AE16" s="487"/>
      <c r="AF16" s="599">
        <f>IF(ISNUMBER(IF(D_I="SI",Datos!L16,Datos!L16+Datos!AF16)),IF(D_I="SI",Datos!L16,Datos!L16+Datos!AF16)," - ")</f>
        <v>1298</v>
      </c>
      <c r="AG16" s="337"/>
      <c r="AH16" s="337"/>
      <c r="AI16" s="337"/>
      <c r="AJ16" s="337"/>
      <c r="AK16" s="337"/>
      <c r="AL16" s="482"/>
      <c r="AM16" s="338">
        <f>IF(ISNUMBER(Datos!R16),Datos!R16," - ")</f>
        <v>78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87</v>
      </c>
      <c r="BD16" s="232">
        <f>IF(ISNUMBER(Datos!N16),Datos!N16," - ")</f>
        <v>477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1.0982404692082111</v>
      </c>
      <c r="BH16" s="263">
        <f>IF(ISNUMBER(((IF(D_I="SI",Datos!L16/Datos!K16,(Datos!L16+Datos!AF16)/(Datos!K16+Datos!AE16)))*11)/factor_trimestre),((IF(D_I="SI",Datos!L16/Datos!K16,(Datos!L16+Datos!AF16)/(Datos!K16+Datos!AE16)))*11)/factor_trimestre," - ")</f>
        <v>5.1989319092122832</v>
      </c>
      <c r="BI16" s="246">
        <f>IF(ISNUMBER('Resol  Asuntos'!D16/NºAsuntos!G16),'Resol  Asuntos'!D16/NºAsuntos!G16," - ")</f>
        <v>0.11615487316421896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42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4.5</v>
      </c>
      <c r="BH17" s="263">
        <f>IF(ISNUMBER(((IF(D_I="SI",Datos!L17/Datos!K17,(Datos!L17+Datos!AF17)/(Datos!K17+Datos!AE17)))*11)/factor_trimestre),((IF(D_I="SI",Datos!L17/Datos!K17,(Datos!L17+Datos!AF17)/(Datos!K17+Datos!AE17)))*11)/factor_trimestre," - ")</f>
        <v>4.666666666666667</v>
      </c>
      <c r="BI17" s="246">
        <f>IF(ISNUMBER('Resol  Asuntos'!D17/NºAsuntos!G17),'Resol  Asuntos'!D17/NºAsuntos!G17," - ")</f>
        <v>7.407407407407407E-2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1365</v>
      </c>
      <c r="G18" s="901">
        <f>SUBTOTAL(9,G15:G17)</f>
        <v>1468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776</v>
      </c>
      <c r="AC18" s="902">
        <f t="shared" si="4"/>
        <v>19</v>
      </c>
      <c r="AD18" s="902">
        <f t="shared" si="4"/>
        <v>0</v>
      </c>
      <c r="AE18" s="902">
        <f t="shared" si="4"/>
        <v>0</v>
      </c>
      <c r="AF18" s="902">
        <f t="shared" si="4"/>
        <v>1340</v>
      </c>
      <c r="AG18" s="902">
        <f t="shared" si="4"/>
        <v>0</v>
      </c>
      <c r="AH18" s="902">
        <f t="shared" si="4"/>
        <v>0</v>
      </c>
      <c r="AI18" s="902">
        <f t="shared" si="4"/>
        <v>0</v>
      </c>
      <c r="AJ18" s="902">
        <f t="shared" si="4"/>
        <v>0</v>
      </c>
      <c r="AK18" s="902">
        <f t="shared" si="4"/>
        <v>0</v>
      </c>
      <c r="AL18" s="902">
        <f t="shared" si="4"/>
        <v>0</v>
      </c>
      <c r="AM18" s="902">
        <f t="shared" si="4"/>
        <v>78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89</v>
      </c>
      <c r="BD18" s="902">
        <f t="shared" si="4"/>
        <v>484</v>
      </c>
      <c r="BE18" s="902">
        <f t="shared" si="4"/>
        <v>0</v>
      </c>
      <c r="BF18" s="902">
        <f t="shared" si="4"/>
        <v>0</v>
      </c>
      <c r="BG18" s="902">
        <f>IF(ISNUMBER(Datos!K18/Datos!J18),Datos!K18/Datos!J18," - ")</f>
        <v>1.1279069767441861</v>
      </c>
      <c r="BH18" s="906">
        <f>IF(ISNUMBER(((Datos!L18/Datos!K18)*11)/factor_trimestre),((Datos!L18/Datos!K18)*11)/factor_trimestre," - ")</f>
        <v>5.1804123711340218</v>
      </c>
      <c r="BI18" s="902">
        <f>SUBTOTAL(9,BI15:BI17)</f>
        <v>0.19022894723829303</v>
      </c>
      <c r="BJ18" s="902">
        <f>SUBTOTAL(9,BJ15:BJ17)</f>
        <v>0</v>
      </c>
      <c r="BK18" s="902">
        <f>SUBTOTAL(9,BK15:BK17)</f>
        <v>0</v>
      </c>
      <c r="BL18" s="902">
        <f>IF(ISNUMBER((I18-AB18+L18)/(F18)),(I18-AB18+L18)/(F18)," - ")</f>
        <v>-0.56849816849816848</v>
      </c>
      <c r="BM18" s="908">
        <f>IF(ISNUMBER((Datos!P18-Datos!Q18)/(Datos!R18-Datos!P18+Datos!Q18)),(Datos!P18-Datos!Q18)/(Datos!R18-Datos!P18+Datos!Q18)," - ")</f>
        <v>5.4054054054054057E-2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1375</v>
      </c>
      <c r="G19" s="823">
        <f t="shared" si="6"/>
        <v>1478</v>
      </c>
      <c r="H19" s="825">
        <f t="shared" si="6"/>
        <v>0</v>
      </c>
      <c r="I19" s="823">
        <f t="shared" si="6"/>
        <v>0</v>
      </c>
      <c r="J19" s="825">
        <f t="shared" si="6"/>
        <v>0</v>
      </c>
      <c r="K19" s="825">
        <f t="shared" si="6"/>
        <v>0</v>
      </c>
      <c r="L19" s="884">
        <f t="shared" si="6"/>
        <v>0</v>
      </c>
      <c r="M19" s="884">
        <f t="shared" si="6"/>
        <v>0</v>
      </c>
      <c r="N19" s="884">
        <f t="shared" si="6"/>
        <v>31</v>
      </c>
      <c r="O19" s="884">
        <f t="shared" si="6"/>
        <v>0</v>
      </c>
      <c r="P19" s="884">
        <f t="shared" si="6"/>
        <v>0</v>
      </c>
      <c r="Q19" s="825">
        <f t="shared" si="6"/>
        <v>148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779</v>
      </c>
      <c r="AC19" s="824">
        <f t="shared" si="7"/>
        <v>105</v>
      </c>
      <c r="AD19" s="824">
        <f t="shared" si="7"/>
        <v>0</v>
      </c>
      <c r="AE19" s="824">
        <f t="shared" si="7"/>
        <v>0</v>
      </c>
      <c r="AF19" s="831">
        <f t="shared" si="7"/>
        <v>1347</v>
      </c>
      <c r="AG19" s="831">
        <f t="shared" si="7"/>
        <v>0</v>
      </c>
      <c r="AH19" s="831">
        <f t="shared" si="7"/>
        <v>67</v>
      </c>
      <c r="AI19" s="831">
        <f t="shared" si="7"/>
        <v>0</v>
      </c>
      <c r="AJ19" s="824">
        <f t="shared" si="7"/>
        <v>0</v>
      </c>
      <c r="AK19" s="831">
        <f t="shared" si="7"/>
        <v>0</v>
      </c>
      <c r="AL19" s="831">
        <f t="shared" si="7"/>
        <v>0</v>
      </c>
      <c r="AM19" s="831">
        <f t="shared" si="7"/>
        <v>2554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232</v>
      </c>
      <c r="BD19" s="823">
        <f t="shared" si="7"/>
        <v>741</v>
      </c>
      <c r="BE19" s="823">
        <f t="shared" si="7"/>
        <v>0</v>
      </c>
      <c r="BF19" s="833">
        <f t="shared" si="7"/>
        <v>0</v>
      </c>
      <c r="BG19" s="918">
        <f>IF(ISNUMBER(Datos!K19/Datos!J19),Datos!K19/Datos!J19," - ")</f>
        <v>1.1259138911454103</v>
      </c>
      <c r="BH19" s="918">
        <f>IF(ISNUMBER(((Datos!L19/Datos!K19)*11)/factor_trimestre),((Datos!L19/Datos!K19)*11)/factor_trimestre," - ")</f>
        <v>6.4523809523809526</v>
      </c>
      <c r="BI19" s="816">
        <f>IF(ISNUMBER(Datos!J19/Datos!I19),Datos!J19/Datos!I19," - ")</f>
        <v>0.38747245829398802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-0.56654545454545457</v>
      </c>
      <c r="BM19" s="892">
        <f>IF(ISNUMBER((Datos!P19-Datos!Q19+R19)/(Datos!R19-Datos!P19+Datos!Q19-R19)),(Datos!P19-Datos!Q19+R19)/(Datos!R19-Datos!P19+Datos!Q19-R19)," - ")</f>
        <v>1.7124651533253685E-2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591.20000000000005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782.30961475194295</v>
      </c>
      <c r="G21" s="555">
        <f>IF(ISNUMBER(STDEV(G8:G18)),STDEV(G8:G18),"-")</f>
        <v>772.27436834327216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411.84074592007039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64.04581693340063</v>
      </c>
      <c r="BD21" s="554"/>
      <c r="BE21" s="554">
        <f>IF(ISNUMBER(STDEV(BE8:BE18)),STDEV(BE8:BE18),"-")</f>
        <v>0</v>
      </c>
      <c r="BF21" s="559">
        <f>IF(ISNUMBER(STDEV(BF8:BF18)),STDEV(BF8:BF18),"-")</f>
        <v>0</v>
      </c>
      <c r="BG21" s="778">
        <f>IF(ISNUMBER(STDEV(BG8:BG18)),STDEV(BG8:BG18),"-")</f>
        <v>1.5121913245451253</v>
      </c>
      <c r="BH21" s="779">
        <f>IF(ISNUMBER(STDEV(BH8:BH18)),STDEV(BH8:BH18),"-")</f>
        <v>1.5038947930976918</v>
      </c>
      <c r="BI21" s="252">
        <f>IF(ISNUMBER(STDEV(BI8:BI18)),STDEV(BI8:BI18),"-")</f>
        <v>6.702243608752631E-2</v>
      </c>
      <c r="BJ21" s="233" t="str">
        <f>IF(ISNUMBER(BL21/BM21),BL21/BM21," - ")</f>
        <v xml:space="preserve"> - </v>
      </c>
      <c r="BK21" s="578"/>
      <c r="BL21" s="562">
        <f>IF(ISNUMBER(STDEV(BL8:BL18)),STDEV(BL8:BL18),"-")</f>
        <v>0.18985687568122311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FleysWKd834sKSGIe+2IvCYzIE6l5eUWCaBzxodWVWkqypM/6TtWzD7AmFMxSnhRx2Xz005zlVAhvL1TrngLw==" saltValue="V05+ruoC77QI/T7tz5+E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CACERES  Resumenes por Partidos Judiciales  NAVALMORAL DE LA MATA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7</v>
      </c>
      <c r="AA10" s="335">
        <f>IF(ISNUMBER(Datos!L10),Datos!L10,"-")</f>
        <v>7</v>
      </c>
      <c r="AB10" s="337"/>
      <c r="AC10" s="337"/>
      <c r="AD10" s="487"/>
      <c r="AE10" s="487">
        <f>IF(ISNUMBER(Datos!R10),Datos!R10," - ")</f>
        <v>12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7.0000000000000009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-0.36842105263157893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79</v>
      </c>
      <c r="AA12" s="335" t="str">
        <f>IF(ISNUMBER(IF(J_V="SI",Datos!L12,Datos!L12+Datos!AB12)-IF(Monitorios="SI",Datos!CD12,0)),
                          IF(J_V="SI",Datos!L12,Datos!L12+Datos!AB12)-IF(Monitorios="SI",Datos!CD12,0),
                          " - ")</f>
        <v xml:space="preserve"> - </v>
      </c>
      <c r="AB12" s="337"/>
      <c r="AC12" s="337"/>
      <c r="AD12" s="487"/>
      <c r="AE12" s="487">
        <f>IF(ISNUMBER(Datos!R12),Datos!R12," - ")</f>
        <v>2464</v>
      </c>
      <c r="AF12" s="232" t="str">
        <f>IF(ISNUMBER(Datos!BV12),Datos!BV12," - ")</f>
        <v xml:space="preserve"> - </v>
      </c>
      <c r="AG12" s="228" t="str">
        <f>IF(ISNUMBER(Datos!DV12),Datos!DV12," - ")</f>
        <v xml:space="preserve"> - </v>
      </c>
      <c r="AH12" s="301"/>
      <c r="AI12" s="230"/>
      <c r="AJ12" s="228">
        <f>IF(ISNUMBER(Datos!M12),Datos!M12," - ")</f>
        <v>143</v>
      </c>
      <c r="AK12" s="232">
        <f>IF(ISNUMBER(Datos!N12),Datos!N12," - ")</f>
        <v>257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7.8993808049535614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1.9023986765922249E-2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125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86</v>
      </c>
      <c r="AA13" s="903">
        <f t="shared" si="2"/>
        <v>7</v>
      </c>
      <c r="AB13" s="903">
        <f t="shared" si="2"/>
        <v>0</v>
      </c>
      <c r="AC13" s="903">
        <f t="shared" si="2"/>
        <v>0</v>
      </c>
      <c r="AD13" s="903">
        <f t="shared" si="2"/>
        <v>0</v>
      </c>
      <c r="AE13" s="903">
        <f t="shared" si="2"/>
        <v>2476</v>
      </c>
      <c r="AF13" s="911">
        <f t="shared" si="2"/>
        <v>0</v>
      </c>
      <c r="AG13" s="911">
        <f t="shared" si="2"/>
        <v>0</v>
      </c>
      <c r="AH13" s="911">
        <f t="shared" si="2"/>
        <v>0</v>
      </c>
      <c r="AI13" s="911">
        <f t="shared" si="2"/>
        <v>0</v>
      </c>
      <c r="AJ13" s="911">
        <f t="shared" si="2"/>
        <v>143</v>
      </c>
      <c r="AK13" s="911">
        <f t="shared" si="2"/>
        <v>257</v>
      </c>
      <c r="AL13" s="911">
        <f t="shared" si="2"/>
        <v>0</v>
      </c>
      <c r="AM13" s="911">
        <f t="shared" si="2"/>
        <v>0</v>
      </c>
      <c r="AN13" s="911">
        <f t="shared" si="2"/>
        <v>0</v>
      </c>
      <c r="AO13" s="907">
        <f>IF(ISNUMBER(((NºAsuntos!I13/NºAsuntos!G13)*11)/factor_trimestre),((NºAsuntos!I13/NºAsuntos!G13)*11)/factor_trimestre," - ")</f>
        <v>7.8952234206471497</v>
      </c>
      <c r="AP13" s="913" t="str">
        <f>IF(ISNUMBER(Datos!CI13/Datos!CJ13),Datos!CI13/Datos!CJ13," - ")</f>
        <v xml:space="preserve"> - </v>
      </c>
      <c r="AQ13" s="931">
        <f t="shared" ref="AQ13:AV13" si="3">SUBTOTAL(9,AQ9:AQ12)</f>
        <v>0</v>
      </c>
      <c r="AR13" s="931">
        <f t="shared" si="3"/>
        <v>-0.34939706586565666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1365</v>
      </c>
      <c r="G16" s="228">
        <f>IF(ISNUMBER(IF(D_I="SI",Datos!I16,Datos!I16+Datos!AC16)),IF(D_I="SI",Datos!I16,Datos!I16+Datos!AC16)," - ")</f>
        <v>1405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749</v>
      </c>
      <c r="Z16" s="622">
        <f>IF(ISNUMBER(Datos!Q16),Datos!Q16," - ")</f>
        <v>19</v>
      </c>
      <c r="AA16" s="335">
        <f>IF(ISNUMBER(IF(D_I="SI",Datos!L16,Datos!L16+Datos!AF16)),IF(D_I="SI",Datos!L16,Datos!L16+Datos!AF16)," - ")</f>
        <v>1298</v>
      </c>
      <c r="AB16" s="337"/>
      <c r="AC16" s="337"/>
      <c r="AD16" s="487"/>
      <c r="AE16" s="487">
        <f>IF(ISNUMBER(Datos!R16),Datos!R16," - ")</f>
        <v>78</v>
      </c>
      <c r="AF16" s="232" t="str">
        <f>IF(ISNUMBER(Datos!BV16),Datos!BV16," - ")</f>
        <v xml:space="preserve"> - </v>
      </c>
      <c r="AG16" s="228"/>
      <c r="AH16" s="301"/>
      <c r="AI16" s="230"/>
      <c r="AJ16" s="228">
        <f>IF(ISNUMBER(Datos!M16),Datos!M16," - ")</f>
        <v>87</v>
      </c>
      <c r="AK16" s="232">
        <f>IF(ISNUMBER(Datos!N16),Datos!N16," - ")</f>
        <v>477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5.1989319092122832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42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4.666666666666667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1365</v>
      </c>
      <c r="G18" s="901">
        <f>SUBTOTAL(9,G15:G17)</f>
        <v>1468</v>
      </c>
      <c r="H18" s="935">
        <f>SUBTOTAL(9,H15:H17)</f>
        <v>0</v>
      </c>
      <c r="I18" s="914">
        <f>SUBTOTAL(9,I15:I17)</f>
        <v>0</v>
      </c>
      <c r="J18" s="870">
        <f>SUBTOTAL(9,J14:J17)</f>
        <v>0</v>
      </c>
      <c r="K18" s="935">
        <f t="shared" ref="K18:S18" si="4">SUBTOTAL(9,K15:K17)</f>
        <v>0</v>
      </c>
      <c r="L18" s="935">
        <f t="shared" si="4"/>
        <v>0</v>
      </c>
      <c r="M18" s="935">
        <f t="shared" si="4"/>
        <v>0</v>
      </c>
      <c r="N18" s="935">
        <f t="shared" si="4"/>
        <v>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776</v>
      </c>
      <c r="Z18" s="935">
        <f t="shared" si="5"/>
        <v>19</v>
      </c>
      <c r="AA18" s="935">
        <f t="shared" si="5"/>
        <v>1340</v>
      </c>
      <c r="AB18" s="935">
        <f t="shared" si="5"/>
        <v>0</v>
      </c>
      <c r="AC18" s="935">
        <f t="shared" si="5"/>
        <v>0</v>
      </c>
      <c r="AD18" s="935">
        <f t="shared" si="5"/>
        <v>0</v>
      </c>
      <c r="AE18" s="935">
        <f t="shared" si="5"/>
        <v>78</v>
      </c>
      <c r="AF18" s="935">
        <f t="shared" si="5"/>
        <v>0</v>
      </c>
      <c r="AG18" s="935">
        <f t="shared" si="5"/>
        <v>0</v>
      </c>
      <c r="AH18" s="935">
        <f t="shared" si="5"/>
        <v>0</v>
      </c>
      <c r="AI18" s="935">
        <f t="shared" si="5"/>
        <v>0</v>
      </c>
      <c r="AJ18" s="935">
        <f t="shared" si="5"/>
        <v>89</v>
      </c>
      <c r="AK18" s="935">
        <f t="shared" si="5"/>
        <v>484</v>
      </c>
      <c r="AL18" s="935">
        <f t="shared" si="5"/>
        <v>0</v>
      </c>
      <c r="AM18" s="935">
        <f t="shared" si="5"/>
        <v>0</v>
      </c>
      <c r="AN18" s="935">
        <f t="shared" si="5"/>
        <v>0</v>
      </c>
      <c r="AO18" s="937">
        <f>IF(ISNUMBER(((NºAsuntos!I18/NºAsuntos!G18)*11)/factor_trimestre),((NºAsuntos!I18/NºAsuntos!G18)*11)/factor_trimestre," - ")</f>
        <v>5.1804123711340218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1375</v>
      </c>
      <c r="G19" s="823">
        <f t="shared" si="7"/>
        <v>1478</v>
      </c>
      <c r="H19" s="824">
        <f t="shared" si="7"/>
        <v>0</v>
      </c>
      <c r="I19" s="823">
        <f t="shared" si="7"/>
        <v>0</v>
      </c>
      <c r="J19" s="825">
        <f t="shared" si="7"/>
        <v>0</v>
      </c>
      <c r="K19" s="823">
        <f t="shared" si="7"/>
        <v>0</v>
      </c>
      <c r="L19" s="826">
        <f t="shared" si="7"/>
        <v>0</v>
      </c>
      <c r="M19" s="823">
        <f t="shared" si="7"/>
        <v>0</v>
      </c>
      <c r="N19" s="824">
        <f t="shared" si="7"/>
        <v>148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779</v>
      </c>
      <c r="Z19" s="830">
        <f t="shared" si="8"/>
        <v>105</v>
      </c>
      <c r="AA19" s="831">
        <f t="shared" si="8"/>
        <v>1347</v>
      </c>
      <c r="AB19" s="831">
        <f t="shared" si="8"/>
        <v>0</v>
      </c>
      <c r="AC19" s="831">
        <f t="shared" si="8"/>
        <v>0</v>
      </c>
      <c r="AD19" s="832">
        <f t="shared" si="8"/>
        <v>0</v>
      </c>
      <c r="AE19" s="832">
        <f t="shared" si="8"/>
        <v>2554</v>
      </c>
      <c r="AF19" s="833">
        <f t="shared" si="8"/>
        <v>0</v>
      </c>
      <c r="AG19" s="834">
        <f t="shared" si="8"/>
        <v>0</v>
      </c>
      <c r="AH19" s="835">
        <f t="shared" si="8"/>
        <v>0</v>
      </c>
      <c r="AI19" s="833">
        <f t="shared" si="8"/>
        <v>0</v>
      </c>
      <c r="AJ19" s="823">
        <f t="shared" si="8"/>
        <v>232</v>
      </c>
      <c r="AK19" s="823">
        <f t="shared" si="8"/>
        <v>741</v>
      </c>
      <c r="AL19" s="823">
        <f t="shared" si="8"/>
        <v>0</v>
      </c>
      <c r="AM19" s="836">
        <f t="shared" si="8"/>
        <v>0</v>
      </c>
      <c r="AN19" s="826">
        <f>IF(ISNUMBER(Datos!K19/Datos!J19),Datos!K19/Datos!J19," - ")</f>
        <v>1.1259138911454103</v>
      </c>
      <c r="AO19" s="826">
        <f>IF(ISNUMBER(FIND("06",Criterios!A8,1)),(IF(ISNUMBER(((Datos!R19/Datos!Q19)*11)/factor_trimestre),((Datos!R19/Datos!Q19)*11)/factor_trimestre," - ")),(IF(ISNUMBER(((Datos!L19/Datos!K19)*11)/factor_trimestre),((Datos!L19/Datos!K19)*11)/factor_trimestre," - ")))</f>
        <v>6.4523809523809526</v>
      </c>
      <c r="AP19" s="837" t="str">
        <f>IF(ISNUMBER(Datos!CI19/Datos!CJ19),Datos!CI19/Datos!CJ19," - ")</f>
        <v xml:space="preserve"> - </v>
      </c>
      <c r="AQ19" s="837">
        <f>IF(OR(ISNUMBER(FIND("01",Criterios!A8,1)),ISNUMBER(FIND("02",Criterios!A8,1)),ISNUMBER(FIND("03",Criterios!A8,1)),ISNUMBER(FIND("04",Criterios!A8,1))),(J19-Y19+K19)/(F19-K19),(I19-Y19+K19)/(F19-K19))</f>
        <v>-0.56654545454545457</v>
      </c>
      <c r="AR19" s="837">
        <f>IF(ISNUMBER((Datos!P19-Datos!Q19+O19)/(Datos!R19-Datos!P19+Datos!Q19-O19)),(Datos!P19-Datos!Q19+O19)/(Datos!R19-Datos!P19+Datos!Q19-O19)," - ")</f>
        <v>1.7124651533253685E-2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591.20000000000005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782.30961475194295</v>
      </c>
      <c r="G21" s="555">
        <f>IF(ISNUMBER(STDEV(G8:G18)),STDEV(G8:G18),"-")</f>
        <v>772.27436834327216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64.04581693340063</v>
      </c>
      <c r="AK21" s="255"/>
      <c r="AL21" s="255">
        <f>IF(ISNUMBER(STDEV(AL8:AL18)),STDEV(AL8:AL18),"-")</f>
        <v>0</v>
      </c>
      <c r="AM21" s="257">
        <f>IF(ISNUMBER(STDEV(AM8:AM18)),STDEV(AM8:AM18),"-")</f>
        <v>0</v>
      </c>
      <c r="AN21" s="542">
        <f>IF(ISNUMBER(STDEV(AN8:AN18)),STDEV(AN8:AN18),"-")</f>
        <v>0</v>
      </c>
      <c r="AO21" s="543">
        <f>IF(ISNUMBER(STDEV(AO8:AO18)),STDEV(AO8:AO18),"-")</f>
        <v>1.4646560665243211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POsFvS/1Zg20MZPGrOYyH1uUpIVXGiqBPtZNSa1P70jiOPa0dtHyM0H+ggM57rMK1AuzbHpec7Urghl9ckS2A==" saltValue="6B4LHiIY0YTCmrR1X7On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ECUNEf+0MzFTPsk0XIXTTFAB7fLDadzmJ2EvG1NlaVeI1X/O0Pzir7ifnbXirTQ4r+gFJ3sjoYP2QpfzDsScw==" saltValue="tJzMjO7M+OXV6kIyaz+d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90ADzVfHtmPgIsT5rMeeBq+l8mwc01kgppeQfTto4cA/j/+LyGGfjHnano5C5o1SZhUvCSTCOXKd5FV8Tsurg==" saltValue="Hqabf+yAwRAVRoVNZuC2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CACERES  Resumenes por Partidos Judiciales  NAVALMORAL DE LA MATA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0.22033898305084745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0.15580318907500199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hX0ObfJElI7S0k6xwjpx04Q32oTCsvlZ6YFJcjIL+2/G6D3GUeCCTsadvlJaOiauSY4OpIN4QXJwg2t/nRGIQ==" saltValue="mfAm4QIwND5G7YlJizo0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N6DX4wcg+d554EJ4iDICy9xvDnuBwtw2jWIFzBJp4QywY2WzvMQq+foQLHmnSMqisrN/Bgy21E9Ue+SEOEqYg==" saltValue="UZTP7S6FEo96huhRnFFh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CACERES</v>
      </c>
      <c r="D3" s="378"/>
      <c r="E3" s="378"/>
      <c r="F3" s="378"/>
    </row>
    <row r="4" spans="1:14" ht="13.5" thickBot="1">
      <c r="A4" s="378"/>
      <c r="B4" s="394" t="str">
        <f>Criterios!A11 &amp;"  "&amp;Criterios!B11</f>
        <v>Resumenes por Partidos Judiciales  NAVALMORAL DE LA MATA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0</v>
      </c>
      <c r="F10" s="407">
        <f>IF(ISNUMBER(E10/B10),E10/B10," - ")</f>
        <v>0</v>
      </c>
      <c r="G10" s="406">
        <f>IF(ISNUMBER(Datos!K10),Datos!K10," - ")</f>
        <v>3</v>
      </c>
      <c r="H10" s="407">
        <f>IF(ISNUMBER(G10/B10),G10/B10," - ")</f>
        <v>3</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1774</v>
      </c>
      <c r="D12" s="407">
        <f>IF(ISNUMBER(C12/Datos!BH12),C12/Datos!BH12," - ")</f>
        <v>591.33333333333337</v>
      </c>
      <c r="E12" s="406">
        <f>IF(ISNUMBER(IF(J_V="SI",Datos!J12,Datos!J12+Datos!Z12)),IF(J_V="SI",Datos!J12,Datos!J12+Datos!Z12)," - ")</f>
        <v>574</v>
      </c>
      <c r="F12" s="407">
        <f>IF(ISNUMBER(E12/B12),E12/B12," - ")</f>
        <v>191.33333333333334</v>
      </c>
      <c r="G12" s="406">
        <f>IF(ISNUMBER(IF(J_V="SI",Datos!K12,Datos!K12+Datos!AA12)),IF(J_V="SI",Datos!K12,Datos!K12+Datos!AA12)," - ")</f>
        <v>646</v>
      </c>
      <c r="H12" s="407">
        <f>IF(ISNUMBER(G12/B12),G12/B12," - ")</f>
        <v>215.33333333333334</v>
      </c>
      <c r="I12" s="406">
        <f>IF(ISNUMBER(IF(J_V="SI",Datos!L12,Datos!L12+Datos!AB12)),IF(J_V="SI",Datos!L12,Datos!L12+Datos!AB12)," - ")</f>
        <v>1701</v>
      </c>
      <c r="J12" s="407">
        <f>IF(ISNUMBER(I12/B12),I12/B12," - ")</f>
        <v>567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1784</v>
      </c>
      <c r="D13" s="853" t="str">
        <f>IF(ISNUMBER(C13/Datos!BI13),C13/Datos!BI13," - ")</f>
        <v xml:space="preserve"> - </v>
      </c>
      <c r="E13" s="852">
        <f>SUBTOTAL(9,E8:E12)</f>
        <v>574</v>
      </c>
      <c r="F13" s="853">
        <f>IF(ISNUMBER(E13/B13),E13/B13," - ")</f>
        <v>191.33333333333334</v>
      </c>
      <c r="G13" s="852">
        <f>SUBTOTAL(9,G8:G12)</f>
        <v>649</v>
      </c>
      <c r="H13" s="853">
        <f>IF(ISNUMBER(G13/B13),G13/B13," - ")</f>
        <v>216.33333333333334</v>
      </c>
      <c r="I13" s="852">
        <f>SUBTOTAL(9,I8:I12)</f>
        <v>1708</v>
      </c>
      <c r="J13" s="853">
        <f>IF(ISNUMBER(I13/B13),I13/B13," - ")</f>
        <v>569.33333333333337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1405</v>
      </c>
      <c r="D16" s="407">
        <f>IF(ISNUMBER(C16/Datos!BH16),C16/Datos!BH16," - ")</f>
        <v>468.33333333333331</v>
      </c>
      <c r="E16" s="406">
        <f>IF(ISNUMBER(IF(D_I="SI",Datos!J16,Datos!J16+Datos!AD16)),IF(D_I="SI",Datos!J16,Datos!J16+Datos!AD16)," - ")</f>
        <v>682</v>
      </c>
      <c r="F16" s="407">
        <f>IF(ISNUMBER(E16/B16),E16/B16," - ")</f>
        <v>227.33333333333334</v>
      </c>
      <c r="G16" s="406">
        <f>IF(ISNUMBER(IF(D_I="SI",Datos!K16,Datos!K16+Datos!AE16)),IF(D_I="SI",Datos!K16,Datos!K16+Datos!AE16)," - ")</f>
        <v>749</v>
      </c>
      <c r="H16" s="407">
        <f>IF(ISNUMBER(G16/B16),G16/B16," - ")</f>
        <v>249.66666666666666</v>
      </c>
      <c r="I16" s="406">
        <f>IF(ISNUMBER(IF(D_I="SI",Datos!L16,Datos!L16+Datos!AF16)),IF(D_I="SI",Datos!L16,Datos!L16+Datos!AF16)," - ")</f>
        <v>1298</v>
      </c>
      <c r="J16" s="407">
        <f>IF(ISNUMBER(I16/B16),I16/B16," - ")</f>
        <v>432.66666666666669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63</v>
      </c>
      <c r="D17" s="407">
        <f>IF(ISNUMBER(C17/Datos!BH17),C17/Datos!BH17," - ")</f>
        <v>63</v>
      </c>
      <c r="E17" s="406">
        <f>IF(ISNUMBER(IF(D_I="SI",Datos!J17,Datos!J17+Datos!AD17)),IF(D_I="SI",Datos!J17,Datos!J17+Datos!AD17)," - ")</f>
        <v>6</v>
      </c>
      <c r="F17" s="407">
        <f>IF(ISNUMBER(E17/B17),E17/B17," - ")</f>
        <v>6</v>
      </c>
      <c r="G17" s="406">
        <f>IF(ISNUMBER(IF(D_I="SI",Datos!K17,Datos!K17+Datos!AE17)),IF(D_I="SI",Datos!K17,Datos!K17+Datos!AE17)," - ")</f>
        <v>27</v>
      </c>
      <c r="H17" s="407">
        <f>IF(ISNUMBER(G17/B17),G17/B17," - ")</f>
        <v>27</v>
      </c>
      <c r="I17" s="406">
        <f>IF(ISNUMBER(IF(D_I="SI",Datos!L17,Datos!L17+Datos!AF17)),IF(D_I="SI",Datos!L17,Datos!L17+Datos!AF17)," - ")</f>
        <v>42</v>
      </c>
      <c r="J17" s="407">
        <f>IF(ISNUMBER(I17/B17),I17/B17," - ")</f>
        <v>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1468</v>
      </c>
      <c r="D18" s="853" t="str">
        <f>IF(ISNUMBER(C18/Datos!BI18),C18/Datos!BI18," - ")</f>
        <v xml:space="preserve"> - </v>
      </c>
      <c r="E18" s="852">
        <f>SUBTOTAL(9,E14:E17)</f>
        <v>688</v>
      </c>
      <c r="F18" s="853">
        <f>IF(ISNUMBER(E18/B18),E18/B18," - ")</f>
        <v>229.33333333333334</v>
      </c>
      <c r="G18" s="852">
        <f>SUBTOTAL(9,G14:G17)</f>
        <v>776</v>
      </c>
      <c r="H18" s="853">
        <f>IF(ISNUMBER(G18/B18),G18/B18," - ")</f>
        <v>258.66666666666669</v>
      </c>
      <c r="I18" s="852">
        <f>SUBTOTAL(9,I14:I17)</f>
        <v>1340</v>
      </c>
      <c r="J18" s="853">
        <f>IF(ISNUMBER(I18/B18),I18/B18," - ")</f>
        <v>446.66666666666669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3252</v>
      </c>
      <c r="D19" s="798" t="str">
        <f>IF(ISNUMBER(C19/Datos!BI19),C19/Datos!BI19," - ")</f>
        <v xml:space="preserve"> - </v>
      </c>
      <c r="E19" s="797">
        <f>SUBTOTAL(9,E9:E18)</f>
        <v>1262</v>
      </c>
      <c r="F19" s="798">
        <f>IF(ISNUMBER(E19/B19),E19/B19," - ")</f>
        <v>420.66666666666669</v>
      </c>
      <c r="G19" s="797">
        <f>SUBTOTAL(9,G9:G18)</f>
        <v>1425</v>
      </c>
      <c r="H19" s="798">
        <f>IF(ISNUMBER(G19/B19),G19/B19," - ")</f>
        <v>475</v>
      </c>
      <c r="I19" s="797">
        <f>SUBTOTAL(9,I9:I18)</f>
        <v>3048</v>
      </c>
      <c r="J19" s="798">
        <f>IF(ISNUMBER(I19/B19),I19/B19," - ")</f>
        <v>1016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N2b6w+kn6949RnFofFww/quNl9NxOMTXFmUkz8CJQHNogT7b4DgmNjO/WXPi7us8OZcZZm5nsIm8bSHLq0wig==" saltValue="LGbeDPH5aHSTCrM5DzFy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CACERES  Resumenes por Partidos Judiciales  NAVALMORAL DE LA MATA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7.0000000000000009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2464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143</v>
      </c>
      <c r="AM12" s="693">
        <f>IF(ISNUMBER(Datos!N12+DatosP!N16),Datos!N12+DatosP!N16," - ")</f>
        <v>257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7.8993808049535614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1.9023986765922249E-2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125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79</v>
      </c>
      <c r="AE13" s="942">
        <f t="shared" si="1"/>
        <v>0</v>
      </c>
      <c r="AF13" s="942">
        <f t="shared" si="1"/>
        <v>7</v>
      </c>
      <c r="AG13" s="942">
        <f t="shared" si="1"/>
        <v>0</v>
      </c>
      <c r="AH13" s="942">
        <f t="shared" si="1"/>
        <v>2464</v>
      </c>
      <c r="AI13" s="942">
        <f t="shared" si="1"/>
        <v>0</v>
      </c>
      <c r="AJ13" s="942">
        <f t="shared" si="1"/>
        <v>0</v>
      </c>
      <c r="AK13" s="942">
        <f t="shared" si="1"/>
        <v>0</v>
      </c>
      <c r="AL13" s="942">
        <f t="shared" si="1"/>
        <v>143</v>
      </c>
      <c r="AM13" s="942">
        <f t="shared" si="1"/>
        <v>257</v>
      </c>
      <c r="AN13" s="942">
        <f t="shared" si="1"/>
        <v>0</v>
      </c>
      <c r="AO13" s="942">
        <f t="shared" si="1"/>
        <v>0</v>
      </c>
      <c r="AP13" s="947">
        <f>IF(ISNUMBER(((Datos!L13/Datos!K13)*11)/factor_trimestre),((Datos!L13/Datos!K13)*11)/factor_trimestre," - ")</f>
        <v>8.0704918032786885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v>
      </c>
      <c r="AU13" s="942" t="str">
        <f>IF(ISNUMBER((DatosP!#REF!-DatosP!#REF!+DatosP!#REF!)/(DatosP!#REF!+DatosP!#REF!-DatosP!#REF!-DatosP!#REF!)),(DatosP!#REF!-DatosP!#REF!+DatosP!#REF!)/(DatosP!#REF!+DatosP!#REF!-DatosP!#REF!-DatosP!#REF!)," - ")</f>
        <v xml:space="preserve"> - </v>
      </c>
      <c r="AV13" s="948">
        <f>SUBTOTAL(9,AV9:AV12)</f>
        <v>1.9023986765922249E-2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5.1804123711340218</v>
      </c>
      <c r="AQ18" s="947">
        <f>IF(ISNUMBER(((Datos!M18/Datos!L18)*11)/factor_trimestre),((Datos!M18/Datos!L18)*11)/factor_trimestre," - ")</f>
        <v>0.19925373134328361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5.4054054054054057E-2</v>
      </c>
      <c r="AW18" s="949">
        <f>IF(ISNUMBER((Datos!Q18-Datos!R18)/(Datos!S18-Datos!Q18+Datos!R18)),(Datos!Q18-Datos!R18)/(Datos!S18-Datos!Q18+Datos!R18)," - ")</f>
        <v>-4.7011952191235058E-2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125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79</v>
      </c>
      <c r="AE19" s="960">
        <f t="shared" si="5"/>
        <v>0</v>
      </c>
      <c r="AF19" s="961">
        <f t="shared" si="5"/>
        <v>7</v>
      </c>
      <c r="AG19" s="961">
        <f t="shared" si="5"/>
        <v>0</v>
      </c>
      <c r="AH19" s="961">
        <f t="shared" si="5"/>
        <v>2464</v>
      </c>
      <c r="AI19" s="961">
        <f t="shared" si="5"/>
        <v>0</v>
      </c>
      <c r="AJ19" s="962">
        <f t="shared" si="5"/>
        <v>0</v>
      </c>
      <c r="AK19" s="962">
        <f t="shared" si="5"/>
        <v>0</v>
      </c>
      <c r="AL19" s="954">
        <f t="shared" si="5"/>
        <v>143</v>
      </c>
      <c r="AM19" s="954">
        <f t="shared" si="5"/>
        <v>257</v>
      </c>
      <c r="AN19" s="954">
        <f t="shared" si="5"/>
        <v>0</v>
      </c>
      <c r="AO19" s="954">
        <f t="shared" si="5"/>
        <v>0</v>
      </c>
      <c r="AP19" s="954">
        <f>IF(ISNUMBER(((Datos!L19/Datos!K19)*11)/factor_trimestre),((Datos!L19/Datos!K19)*11)/factor_trimestre," - ")</f>
        <v>6.4523809523809526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1.7124651533253685E-2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82.561088494116476</v>
      </c>
      <c r="AM21" s="739"/>
      <c r="AN21" s="739">
        <f>IF(ISNUMBER(STDEV(AN8:AN18)),STDEV(AN8:AN18),"-")</f>
        <v>0</v>
      </c>
      <c r="AO21" s="745">
        <f>IF(ISNUMBER(STDEV(AO8:AO18)),STDEV(AO8:AO18),"-")</f>
        <v>0</v>
      </c>
      <c r="AP21" s="782">
        <f>IF(ISNUMBER(STDEV(AP8:AP18)),STDEV(AP8:AP18),"-")</f>
        <v>1.3241464267685938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WC03Yxyq62l4CW49jT2JG68UEAlEY0v3V0JdY1/ISN/fIK4thImL/8qjoB1R2PXwBO2HLl2PgJ/KU0HIKI19w==" saltValue="g1tO+w2KiurRMCxKyzuW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CACERES</v>
      </c>
      <c r="C3" s="418"/>
      <c r="F3" s="378"/>
      <c r="G3" s="378"/>
      <c r="H3" s="378"/>
    </row>
    <row r="4" spans="1:15" ht="13.5" thickBot="1">
      <c r="A4" s="378"/>
      <c r="B4" s="394" t="str">
        <f>Criterios!A11 &amp;"  "&amp;Criterios!B11</f>
        <v>Resumenes por Partidos Judiciales  NAVALMORAL DE LA MATA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DfN6Tz75VSbEjOWjxp12PEF0XdiU9JVOVflx6UEGCiWtWzQseT8x69HezbitEHsvqR5Qo5xDaVG91l12GSkgQ==" saltValue="ska9tsE59t70BQmBqMQP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CACERES</v>
      </c>
      <c r="C3" s="394"/>
      <c r="D3" s="428"/>
    </row>
    <row r="4" spans="1:9" ht="13.5" thickBot="1">
      <c r="B4" s="394" t="str">
        <f>Criterios!A11 &amp;"  "&amp;Criterios!B11</f>
        <v>Resumenes por Partidos Judiciales  NAVALMORAL DE LA MATA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143</v>
      </c>
      <c r="E12" s="407">
        <f t="shared" si="0"/>
        <v>47.666666666666664</v>
      </c>
      <c r="F12" s="406">
        <f>IF(ISNUMBER(Datos!N12),Datos!N12," - ")</f>
        <v>257</v>
      </c>
      <c r="G12" s="407">
        <f t="shared" si="1"/>
        <v>85.666666666666671</v>
      </c>
      <c r="H12" s="406">
        <f>IF(ISNUMBER(Datos!O12),Datos!O12," - ")</f>
        <v>307</v>
      </c>
      <c r="I12" s="407">
        <f t="shared" si="2"/>
        <v>102.33333333333333</v>
      </c>
    </row>
    <row r="13" spans="1:9" ht="14.25" thickTop="1" thickBot="1">
      <c r="A13" s="851" t="str">
        <f>Datos!A13</f>
        <v>TOTAL</v>
      </c>
      <c r="B13" s="852">
        <f>Datos!AO13</f>
        <v>4</v>
      </c>
      <c r="C13" s="854">
        <f>Datos!AR13</f>
        <v>3</v>
      </c>
      <c r="D13" s="852">
        <f>SUBTOTAL(9,D9:D12)</f>
        <v>143</v>
      </c>
      <c r="E13" s="853">
        <f t="shared" si="0"/>
        <v>35.75</v>
      </c>
      <c r="F13" s="852">
        <f>SUBTOTAL(9,F9:F12)</f>
        <v>257</v>
      </c>
      <c r="G13" s="853">
        <f t="shared" si="1"/>
        <v>64.25</v>
      </c>
      <c r="H13" s="852">
        <f>SUBTOTAL(9,H9:H12)</f>
        <v>307</v>
      </c>
      <c r="I13" s="853">
        <f>IF(ISNUMBER(H13/B13),H13/B13," - ")</f>
        <v>76.75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87</v>
      </c>
      <c r="E16" s="407">
        <f t="shared" si="3"/>
        <v>29</v>
      </c>
      <c r="F16" s="406">
        <f>IF(ISNUMBER(Datos!N16),Datos!N16," - ")</f>
        <v>477</v>
      </c>
      <c r="G16" s="407">
        <f t="shared" si="4"/>
        <v>159</v>
      </c>
      <c r="H16" s="406">
        <f>IF(ISNUMBER(Datos!O16),Datos!O16," - ")</f>
        <v>17</v>
      </c>
      <c r="I16" s="407">
        <f t="shared" si="5"/>
        <v>5.666666666666667</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4</v>
      </c>
      <c r="C18" s="854">
        <f>Datos!AR18</f>
        <v>3</v>
      </c>
      <c r="D18" s="852">
        <f>SUBTOTAL(9,D15:D17)</f>
        <v>89</v>
      </c>
      <c r="E18" s="853">
        <f t="shared" si="3"/>
        <v>22.25</v>
      </c>
      <c r="F18" s="852">
        <f>SUBTOTAL(9,F15:F17)</f>
        <v>484</v>
      </c>
      <c r="G18" s="853">
        <f t="shared" si="4"/>
        <v>121</v>
      </c>
      <c r="H18" s="852">
        <f>SUBTOTAL(9,H15:H17)</f>
        <v>17</v>
      </c>
      <c r="I18" s="853">
        <f>IF(ISNUMBER(H18/B18),H18/B18," - ")</f>
        <v>4.25</v>
      </c>
    </row>
    <row r="19" spans="1:9" ht="14.25" thickTop="1" thickBot="1">
      <c r="A19" s="796" t="str">
        <f>Datos!A19</f>
        <v>TOTAL JURISDICCIONES</v>
      </c>
      <c r="B19" s="797">
        <f>Datos!AP19</f>
        <v>3</v>
      </c>
      <c r="C19" s="797">
        <f>Datos!AR19</f>
        <v>3</v>
      </c>
      <c r="D19" s="797">
        <f>SUBTOTAL(9,D8:D18)</f>
        <v>232</v>
      </c>
      <c r="E19" s="798">
        <f>IF(ISNUMBER(D19/B19),D19/B19," - ")</f>
        <v>77.333333333333329</v>
      </c>
      <c r="F19" s="797">
        <f>SUBTOTAL(9,F8:F18)</f>
        <v>741</v>
      </c>
      <c r="G19" s="798">
        <f>IF(ISNUMBER(F19/B19),F19/B19," - ")</f>
        <v>247</v>
      </c>
      <c r="H19" s="797">
        <f>SUBTOTAL(9,H8:H18)</f>
        <v>324</v>
      </c>
      <c r="I19" s="798">
        <f>IF(ISNUMBER(H19/B19),H19/B19," - ")</f>
        <v>108</v>
      </c>
    </row>
    <row r="22" spans="1:9">
      <c r="A22" s="394" t="str">
        <f>Criterios!A4</f>
        <v>Fecha Informe: 07 mar. 2024</v>
      </c>
    </row>
    <row r="27" spans="1:9">
      <c r="A27" s="417"/>
    </row>
  </sheetData>
  <sheetProtection algorithmName="SHA-512" hashValue="824u+iSC9FUhsl3x22eIgbrUMWWaEzRux9dyKzPrulGcfmPK8d5yCGZrToc1cvmDuXErb8xBH8d4XvFXCHFYOQ==" saltValue="OipSHbJrdzi+1Fexl7lz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CACERES</v>
      </c>
    </row>
    <row r="4" spans="1:4" ht="13.5" thickBot="1">
      <c r="B4" s="394" t="str">
        <f>Criterios!A11 &amp;"  "&amp;Criterios!B11</f>
        <v>Resumenes por Partidos Judiciales  NAVALMORAL DE LA MATA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7</v>
      </c>
      <c r="D10" s="411">
        <f>IF(ISNUMBER(Datos!R10),Datos!R10," - ")</f>
        <v>12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125</v>
      </c>
      <c r="C12" s="437">
        <f>IF(ISNUMBER(Datos!Q12),Datos!Q12," - ")</f>
        <v>79</v>
      </c>
      <c r="D12" s="411">
        <f>IF(ISNUMBER(Datos!R12),Datos!R12," - ")</f>
        <v>2464</v>
      </c>
    </row>
    <row r="13" spans="1:4" ht="14.25" thickTop="1" thickBot="1">
      <c r="A13" s="851" t="str">
        <f>Datos!A13</f>
        <v>TOTAL</v>
      </c>
      <c r="B13" s="852">
        <f>SUBTOTAL(9,B9:B12)</f>
        <v>125</v>
      </c>
      <c r="C13" s="856">
        <f>SUBTOTAL(9,C9:C12)</f>
        <v>86</v>
      </c>
      <c r="D13" s="854">
        <f>SUBTOTAL(9,D9:D12)</f>
        <v>2476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19</v>
      </c>
      <c r="D16" s="411">
        <f>IF(ISNUMBER(Datos!R16),Datos!R16," - ")</f>
        <v>78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23</v>
      </c>
      <c r="C18" s="856">
        <f>SUBTOTAL(9,C15:C17)</f>
        <v>19</v>
      </c>
      <c r="D18" s="854">
        <f>SUBTOTAL(9,D15:D17)</f>
        <v>78</v>
      </c>
    </row>
    <row r="19" spans="1:4" ht="16.5" customHeight="1" thickTop="1" thickBot="1">
      <c r="A19" s="796" t="str">
        <f>Datos!A19</f>
        <v>TOTAL JURISDICCIONES</v>
      </c>
      <c r="B19" s="801">
        <f>SUBTOTAL(9,B8:B18)</f>
        <v>148</v>
      </c>
      <c r="C19" s="802">
        <f>SUBTOTAL(9,C8:C18)</f>
        <v>105</v>
      </c>
      <c r="D19" s="803">
        <f>SUBTOTAL(9,D8:D18)</f>
        <v>2554</v>
      </c>
    </row>
    <row r="20" spans="1:4" ht="7.5" customHeight="1"/>
    <row r="21" spans="1:4" ht="6" customHeight="1"/>
    <row r="22" spans="1:4">
      <c r="A22" s="394" t="str">
        <f>Criterios!A4</f>
        <v>Fecha Informe: 07 mar. 2024</v>
      </c>
    </row>
    <row r="27" spans="1:4">
      <c r="A27" s="417"/>
    </row>
  </sheetData>
  <sheetProtection algorithmName="SHA-512" hashValue="KBt8YpC0qJjXV5jrnZN44I41ZhLwN7fCNTDbPSYCxlXP3nV6c/y3BL5N+8WyRBuqMlzAx2clvCTXDPyol506AA==" saltValue="GPMjuBeBOGfERj/RYPde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CACERES</v>
      </c>
    </row>
    <row r="4" spans="1:11" ht="10.5" customHeight="1" thickBot="1">
      <c r="B4" s="394" t="str">
        <f>Criterios!A11 &amp;"  "&amp;Criterios!B11</f>
        <v>Resumenes por Partidos Judiciales  NAVALMORAL DE LA MATA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-1</v>
      </c>
      <c r="D10" s="459">
        <f>IF(ISNUMBER((Datos!K10-Datos!U10)/Datos!U10),(Datos!K10-Datos!U10)/Datos!U10," - ")</f>
        <v>-0.72727272727272729</v>
      </c>
      <c r="E10" s="459">
        <f>IF(ISNUMBER((Datos!L10-Datos!V10)/Datos!V10),(Datos!L10-Datos!V10)/Datos!V10," - ")</f>
        <v>-0.65</v>
      </c>
      <c r="F10" s="459">
        <f>IF(ISNUMBER((Datos!M10-Datos!W10)/Datos!W10),(Datos!M10-Datos!W10)/Datos!W10," - ")</f>
        <v>-1</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0.28333333333333344</v>
      </c>
      <c r="J10" s="464">
        <f>IF(ISNUMBER((('Resol  Asuntos'!D10/NºAsuntos!G10)-Datos!BF10)/Datos!BF10),(('Resol  Asuntos'!D10/NºAsuntos!G10)-Datos!BF10)/Datos!BF10," - ")</f>
        <v>-1</v>
      </c>
      <c r="K10" s="465">
        <f>IF(ISNUMBER((((NºAsuntos!C10+NºAsuntos!E10)/NºAsuntos!G10)-Datos!BG10)/Datos!BG10),(((NºAsuntos!C10+NºAsuntos!E10)/NºAsuntos!G10)-Datos!BG10)/Datos!BG10," - ")</f>
        <v>0.18279569892473116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0.32585949177877427</v>
      </c>
      <c r="C12" s="459">
        <f>IF(ISNUMBER(
   IF(J_V="SI",(Datos!J12-Datos!T12)/Datos!T12,(Datos!J12+Datos!Z12-(Datos!T12+Datos!AH12))/(Datos!T12+Datos!AH12))
     ),IF(J_V="SI",(Datos!J12-Datos!T12)/Datos!T12,(Datos!J12+Datos!Z12-(Datos!T12+Datos!AH12))/(Datos!T12+Datos!AH12))," - ")</f>
        <v>-0.12633181126331811</v>
      </c>
      <c r="D12" s="459">
        <f>IF(ISNUMBER(
   IF(J_V="SI",(Datos!K12-Datos!U12)/Datos!U12,(Datos!K12+Datos!AA12-(Datos!U12+Datos!AI12))/(Datos!U12+Datos!AI12))
     ),IF(J_V="SI",(Datos!K12-Datos!U12)/Datos!U12,(Datos!K12+Datos!AA12-(Datos!U12+Datos!AI12))/(Datos!U12+Datos!AI12))," - ")</f>
        <v>0.14134275618374559</v>
      </c>
      <c r="E12" s="459">
        <f>IF(ISNUMBER(
   IF(J_V="SI",(Datos!L12-Datos!V12)/Datos!V12,(Datos!L12+Datos!AB12-(Datos!V12+Datos!AJ12))/(Datos!V12+Datos!AJ12))
     ),IF(J_V="SI",(Datos!L12-Datos!V12)/Datos!V12,(Datos!L12+Datos!AB12-(Datos!V12+Datos!AJ12))/(Datos!V12+Datos!AJ12))," - ")</f>
        <v>0.19034289713086075</v>
      </c>
      <c r="F12" s="459">
        <f>IF(ISNUMBER((Datos!M12-Datos!W12)/Datos!W12),(Datos!M12-Datos!W12)/Datos!W12," - ")</f>
        <v>0.13492063492063491</v>
      </c>
      <c r="G12" s="460">
        <f>IF(ISNUMBER((Datos!N12-Datos!X12)/Datos!X12),(Datos!N12-Datos!X12)/Datos!X12," - ")</f>
        <v>1.984126984126984E-2</v>
      </c>
      <c r="H12" s="458">
        <f>IF(ISNUMBER(((NºAsuntos!G12/NºAsuntos!E12)-Datos!BD12)/Datos!BD12),((NºAsuntos!G12/NºAsuntos!E12)-Datos!BD12)/Datos!BD12," - ")</f>
        <v>0.30638012336710968</v>
      </c>
      <c r="I12" s="459">
        <f>IF(ISNUMBER(((NºAsuntos!I12/NºAsuntos!G12)-Datos!BE12)/Datos!BE12),((NºAsuntos!I12/NºAsuntos!G12)-Datos!BE12)/Datos!BE12," - ")</f>
        <v>4.2932012037255704E-2</v>
      </c>
      <c r="J12" s="464">
        <f>IF(ISNUMBER((('Resol  Asuntos'!D12/NºAsuntos!G12)-Datos!BF12)/Datos!BF12),(('Resol  Asuntos'!D12/NºAsuntos!G12)-Datos!BF12)/Datos!BF12," - ")</f>
        <v>-0.50281340606418001</v>
      </c>
      <c r="K12" s="465">
        <f>IF(ISNUMBER((((NºAsuntos!C12+NºAsuntos!E12)/NºAsuntos!G12)-Datos!BG12)/Datos!BG12),(((NºAsuntos!C12+NºAsuntos!E12)/NºAsuntos!G12)-Datos!BG12)/Datos!BG12," - ")</f>
        <v>3.1190980547343476E-2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0.31369661266568483</v>
      </c>
      <c r="C13" s="858">
        <f>IF(ISNUMBER(
   IF(J_V="SI",(Datos!J13-Datos!T13)/Datos!T13,(Datos!J13+Datos!Z13-(Datos!T13+Datos!AH13))/(Datos!T13+Datos!AH13))
     ),IF(J_V="SI",(Datos!J13-Datos!T13)/Datos!T13,(Datos!J13+Datos!Z13-(Datos!T13+Datos!AH13))/(Datos!T13+Datos!AH13))," - ")</f>
        <v>-0.1407185628742515</v>
      </c>
      <c r="D13" s="858">
        <f>IF(ISNUMBER(
   IF(J_V="SI",(Datos!K13-Datos!U13)/Datos!U13,(Datos!K13+Datos!AA13-(Datos!U13+Datos!AI13))/(Datos!U13+Datos!AI13))
     ),IF(J_V="SI",(Datos!K13-Datos!U13)/Datos!U13,(Datos!K13+Datos!AA13-(Datos!U13+Datos!AI13))/(Datos!U13+Datos!AI13))," - ")</f>
        <v>0.12478336221837089</v>
      </c>
      <c r="E13" s="858">
        <f>IF(ISNUMBER(
   IF(J_V="SI",(Datos!L13-Datos!V13)/Datos!V13,(Datos!L13+Datos!AB13-(Datos!V13+Datos!AJ13))/(Datos!V13+Datos!AJ13))
     ),IF(J_V="SI",(Datos!L13-Datos!V13)/Datos!V13,(Datos!L13+Datos!AB13-(Datos!V13+Datos!AJ13))/(Datos!V13+Datos!AJ13))," - ")</f>
        <v>0.17874396135265699</v>
      </c>
      <c r="F13" s="859">
        <f>IF(ISNUMBER((Datos!M13-Datos!W13)/Datos!W13),(Datos!M13-Datos!W13)/Datos!W13," - ")</f>
        <v>0.12598425196850394</v>
      </c>
      <c r="G13" s="860">
        <f>IF(ISNUMBER((Datos!N13-Datos!X13)/Datos!X13),(Datos!N13-Datos!X13)/Datos!X13," - ")</f>
        <v>1.5810276679841896E-2</v>
      </c>
      <c r="H13" s="860">
        <f>IF(ISNUMBER(((NºAsuntos!G13/NºAsuntos!E13)-Datos!BD13)/Datos!BD13),((NºAsuntos!G13/NºAsuntos!E13)-Datos!BD13)/Datos!BD13," - ")</f>
        <v>0.30898133442834791</v>
      </c>
      <c r="I13" s="860">
        <f>IF(ISNUMBER(((NºAsuntos!I13/NºAsuntos!G13)-Datos!BE13)/Datos!BE13),((NºAsuntos!I13/NºAsuntos!G13)-Datos!BE13)/Datos!BE13," - ")</f>
        <v>4.7974215254981682E-2</v>
      </c>
      <c r="J13" s="860">
        <f>IF(ISNUMBER((('Resol  Asuntos'!D13/NºAsuntos!G13)-Datos!BF13)/Datos!BF13),(('Resol  Asuntos'!D13/NºAsuntos!G13)-Datos!BF13)/Datos!BF13," - ")</f>
        <v>-0.49748777383265225</v>
      </c>
      <c r="K13" s="860">
        <f>IF(ISNUMBER((((NºAsuntos!C13+NºAsuntos!E13)/NºAsuntos!G13)-Datos!BG13)/Datos!BG13),(((NºAsuntos!C13+NºAsuntos!E13)/NºAsuntos!G13)-Datos!BG13)/Datos!BG13," - ")</f>
        <v>3.4750097727995137E-2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0.29612546125461253</v>
      </c>
      <c r="C16" s="459">
        <f>IF(ISNUMBER(
   IF(D_I="SI",(Datos!J16-Datos!T16)/Datos!T16,(Datos!J16+Datos!AD16-(Datos!T16+Datos!AL16))/(Datos!T16+Datos!AL16))
     ),IF(D_I="SI",(Datos!J16-Datos!T16)/Datos!T16,(Datos!J16+Datos!AD16-(Datos!T16+Datos!AL16))/(Datos!T16+Datos!AL16))," - ")</f>
        <v>-7.2108843537414966E-2</v>
      </c>
      <c r="D16" s="459">
        <f>IF(ISNUMBER(
   IF(D_I="SI",(Datos!K16-Datos!U16)/Datos!U16,(Datos!K16+Datos!AE16-(Datos!U16+Datos!AM16))/(Datos!U16+Datos!AM16))
     ),IF(D_I="SI",(Datos!K16-Datos!U16)/Datos!U16,(Datos!K16+Datos!AE16-(Datos!U16+Datos!AM16))/(Datos!U16+Datos!AM16))," - ")</f>
        <v>0.11958146487294469</v>
      </c>
      <c r="E16" s="459">
        <f>IF(ISNUMBER(
   IF(D_I="SI",(Datos!L16-Datos!V16)/Datos!V16,(Datos!L16+Datos!AF16-(Datos!V16+Datos!AN16))/(Datos!V16+Datos!AN16))
     ),IF(D_I="SI",(Datos!L16-Datos!V16)/Datos!V16,(Datos!L16+Datos!AF16-(Datos!V16+Datos!AN16))/(Datos!V16+Datos!AN16))," - ")</f>
        <v>0.18107370336669701</v>
      </c>
      <c r="F16" s="459">
        <f>IF(ISNUMBER((Datos!M16-Datos!W16)/Datos!W16),(Datos!M16-Datos!W16)/Datos!W16," - ")</f>
        <v>0</v>
      </c>
      <c r="G16" s="460">
        <f>IF(ISNUMBER((Datos!N16-Datos!X16)/Datos!X16),(Datos!N16-Datos!X16)/Datos!X16," - ")</f>
        <v>0.20759493670886076</v>
      </c>
      <c r="H16" s="458">
        <f>IF(ISNUMBER(((NºAsuntos!G16/NºAsuntos!E16)-Datos!BD16)/Datos!BD16),((NºAsuntos!G16/NºAsuntos!E16)-Datos!BD16)/Datos!BD16," - ")</f>
        <v>0.2065870625830121</v>
      </c>
      <c r="I16" s="459">
        <f>IF(ISNUMBER(((NºAsuntos!I16/NºAsuntos!G16)-Datos!BE16)/Datos!BE16),((NºAsuntos!I16/NºAsuntos!G16)-Datos!BE16)/Datos!BE16," - ")</f>
        <v>5.4924309148625207E-2</v>
      </c>
      <c r="J16" s="464">
        <f>IF(ISNUMBER((('Resol  Asuntos'!D16/NºAsuntos!G16)-Datos!BF16)/Datos!BF16),(('Resol  Asuntos'!D16/NºAsuntos!G16)-Datos!BF16)/Datos!BF16," - ")</f>
        <v>-0.10680907877169546</v>
      </c>
      <c r="K16" s="465">
        <f>IF(ISNUMBER((((NºAsuntos!C16+NºAsuntos!E16)/NºAsuntos!G16)-Datos!BG16)/Datos!BG16),(((NºAsuntos!C16+NºAsuntos!E16)/NºAsuntos!G16)-Datos!BG16)/Datos!BG16," - ")</f>
        <v>2.478804431196889E-2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-0.4375</v>
      </c>
      <c r="C17" s="459">
        <f>IF(ISNUMBER(
   IF(D_I="SI",(Datos!J17-Datos!T17)/Datos!T17,(Datos!J17+Datos!AD17-(Datos!T17+Datos!AL17))/(Datos!T17+Datos!AL17))
     ),IF(D_I="SI",(Datos!J17-Datos!T17)/Datos!T17,(Datos!J17+Datos!AD17-(Datos!T17+Datos!AL17))/(Datos!T17+Datos!AL17))," - ")</f>
        <v>-0.9</v>
      </c>
      <c r="D17" s="459">
        <f>IF(ISNUMBER(
   IF(D_I="SI",(Datos!K17-Datos!U17)/Datos!U17,(Datos!K17+Datos!AE17-(Datos!U17+Datos!AM17))/(Datos!U17+Datos!AM17))
     ),IF(D_I="SI",(Datos!K17-Datos!U17)/Datos!U17,(Datos!K17+Datos!AE17-(Datos!U17+Datos!AM17))/(Datos!U17+Datos!AM17))," - ")</f>
        <v>-0.5714285714285714</v>
      </c>
      <c r="E17" s="459">
        <f>IF(ISNUMBER(
   IF(D_I="SI",(Datos!L17-Datos!V17)/Datos!V17,(Datos!L17+Datos!AF17-(Datos!V17+Datos!AN17))/(Datos!V17+Datos!AN17))
     ),IF(D_I="SI",(Datos!L17-Datos!V17)/Datos!V17,(Datos!L17+Datos!AF17-(Datos!V17+Datos!AN17))/(Datos!V17+Datos!AN17))," - ")</f>
        <v>-0.61467889908256879</v>
      </c>
      <c r="F17" s="459">
        <f>IF(ISNUMBER((Datos!M17-Datos!W17)/Datos!W17),(Datos!M17-Datos!W17)/Datos!W17," - ")</f>
        <v>-0.5</v>
      </c>
      <c r="G17" s="460">
        <f>IF(ISNUMBER((Datos!N17-Datos!X17)/Datos!X17),(Datos!N17-Datos!X17)/Datos!X17," - ")</f>
        <v>-0.78125</v>
      </c>
      <c r="H17" s="458">
        <f>IF(ISNUMBER(((NºAsuntos!G17/NºAsuntos!E17)-Datos!BD17)/Datos!BD17),((NºAsuntos!G17/NºAsuntos!E17)-Datos!BD17)/Datos!BD17," - ")</f>
        <v>3.2857142857142856</v>
      </c>
      <c r="I17" s="459">
        <f>IF(ISNUMBER(((NºAsuntos!I17/NºAsuntos!G17)-Datos!BE17)/Datos!BE17),((NºAsuntos!I17/NºAsuntos!G17)-Datos!BE17)/Datos!BE17," - ")</f>
        <v>-0.10091743119266057</v>
      </c>
      <c r="J17" s="464">
        <f>IF(ISNUMBER((('Resol  Asuntos'!D17/NºAsuntos!G17)-Datos!BF17)/Datos!BF17),(('Resol  Asuntos'!D17/NºAsuntos!G17)-Datos!BF17)/Datos!BF17," - ")</f>
        <v>0.16666666666666666</v>
      </c>
      <c r="K17" s="465">
        <f>IF(ISNUMBER((((NºAsuntos!C17+NºAsuntos!E17)/NºAsuntos!G17)-Datos!BG17)/Datos!BG17),(((NºAsuntos!C17+NºAsuntos!E17)/NºAsuntos!G17)-Datos!BG17)/Datos!BG17," - ")</f>
        <v>-6.3953488372093123E-2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0.22742474916387959</v>
      </c>
      <c r="C18" s="858">
        <f>IF(ISNUMBER(
   IF(Criterios!B14="SI",(Datos!J18-Datos!T18)/Datos!T18,(Datos!J18+Datos!AD18-(Datos!T18+Datos!AL18))/(Datos!T18+Datos!AL18))
     ),IF(Criterios!B14="SI",(Datos!J18-Datos!T18)/Datos!T18,(Datos!J18+Datos!AD18-(Datos!T18+Datos!AL18))/(Datos!T18+Datos!AL18))," - ")</f>
        <v>-0.13459119496855346</v>
      </c>
      <c r="D18" s="858">
        <f>IF(ISNUMBER(
   IF(Criterios!B14="SI",(Datos!K18-Datos!U18)/Datos!U18,(Datos!K18+Datos!AE18-(Datos!U18+Datos!AM18))/(Datos!U18+Datos!AM18))
     ),IF(Criterios!B14="SI",(Datos!K18-Datos!U18)/Datos!U18,(Datos!K18+Datos!AE18-(Datos!U18+Datos!AM18))/(Datos!U18+Datos!AM18))," - ")</f>
        <v>6.0109289617486336E-2</v>
      </c>
      <c r="E18" s="858">
        <f>IF(ISNUMBER(
   IF(Criterios!B14="SI",(Datos!L18-Datos!V18)/Datos!V18,(Datos!L18+Datos!AF18-(Datos!V18+Datos!AN18))/(Datos!V18+Datos!AN18))
     ),IF(Criterios!B14="SI",(Datos!L18-Datos!V18)/Datos!V18,(Datos!L18+Datos!AF18-(Datos!V18+Datos!AN18))/(Datos!V18+Datos!AN18))," - ")</f>
        <v>0.10927152317880795</v>
      </c>
      <c r="F18" s="859">
        <f>IF(ISNUMBER((Datos!M18-Datos!W18)/Datos!W18),(Datos!M18-Datos!W18)/Datos!W18," - ")</f>
        <v>-2.197802197802198E-2</v>
      </c>
      <c r="G18" s="860">
        <f>IF(ISNUMBER((Datos!N18-Datos!X18)/Datos!X18),(Datos!N18-Datos!X18)/Datos!X18," - ")</f>
        <v>0.13348946135831383</v>
      </c>
      <c r="H18" s="860">
        <f>IF(ISNUMBER(((NºAsuntos!G18/NºAsuntos!E18)-Datos!BD18)/Datos!BD18),((NºAsuntos!G18/NºAsuntos!E18)-Datos!BD18)/Datos!BD18," - ")</f>
        <v>0.22498093785741516</v>
      </c>
      <c r="I18" s="860">
        <f>IF(ISNUMBER(((NºAsuntos!I18/NºAsuntos!G18)-Datos!BE18)/Datos!BE18),((NºAsuntos!I18/NºAsuntos!G18)-Datos!BE18)/Datos!BE18," - ")</f>
        <v>4.6374684235679677E-2</v>
      </c>
      <c r="J18" s="860">
        <f>IF(ISNUMBER((('Resol  Asuntos'!D18/NºAsuntos!G18)-Datos!BF18)/Datos!BF18),(('Resol  Asuntos'!D18/NºAsuntos!G18)-Datos!BF18)/Datos!BF18," - ")</f>
        <v>-7.7432876401948597E-2</v>
      </c>
      <c r="K18" s="860">
        <f>IF(ISNUMBER((((NºAsuntos!C18+NºAsuntos!E18)/NºAsuntos!G18)-Datos!BG18)/Datos!BG18),(((NºAsuntos!C18+NºAsuntos!E18)/NºAsuntos!G18)-Datos!BG18)/Datos!BG18," - ")</f>
        <v>2.1472916785327725E-2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0.27329678935003915</v>
      </c>
      <c r="C19" s="805">
        <f>IF(ISNUMBER(
   IF(J_V="SI",(Datos!J19-Datos!T19)/Datos!T19,(Datos!J19+Datos!Z19-(Datos!T19+Datos!AH19))/(Datos!T19+Datos!AH19))
     ),IF(J_V="SI",(Datos!J19-Datos!T19)/Datos!T19,(Datos!J19+Datos!Z19-(Datos!T19+Datos!AH19))/(Datos!T19+Datos!AH19))," - ")</f>
        <v>-0.13738892686261106</v>
      </c>
      <c r="D19" s="805">
        <f>IF(ISNUMBER(
   IF(J_V="SI",(Datos!K19-Datos!U19)/Datos!U19,(Datos!K19+Datos!AA19-(Datos!U19+Datos!AI19))/(Datos!U19+Datos!AI19))
     ),IF(J_V="SI",(Datos!K19-Datos!U19)/Datos!U19,(Datos!K19+Datos!AA19-(Datos!U19+Datos!AI19))/(Datos!U19+Datos!AI19))," - ")</f>
        <v>8.8617265087853322E-2</v>
      </c>
      <c r="E19" s="805">
        <f>IF(ISNUMBER(
   IF(J_V="SI",(Datos!L19-Datos!V19)/Datos!V19,(Datos!L19+Datos!AB19-(Datos!V19+Datos!AJ19))/(Datos!V19+Datos!AJ19))
     ),IF(J_V="SI",(Datos!L19-Datos!V19)/Datos!V19,(Datos!L19+Datos!AB19-(Datos!V19+Datos!AJ19))/(Datos!V19+Datos!AJ19))," - ")</f>
        <v>0.14715844937899888</v>
      </c>
      <c r="F19" s="806">
        <f>IF(ISNUMBER((Datos!M19-Datos!W19)/Datos!W19),(Datos!M19-Datos!W19)/Datos!W19," - ")</f>
        <v>6.4220183486238536E-2</v>
      </c>
      <c r="G19" s="807">
        <f>IF(ISNUMBER((Datos!N19-Datos!X19)/Datos!X19),(Datos!N19-Datos!X19)/Datos!X19," - ")</f>
        <v>8.9705882352941177E-2</v>
      </c>
      <c r="H19" s="808">
        <f>IF(ISNUMBER((Tasas!B19-Datos!BD19)/Datos!BD19),(Tasas!B19-Datos!BD19)/Datos!BD19," - ")</f>
        <v>0.26200242379043548</v>
      </c>
      <c r="I19" s="809">
        <f>IF(ISNUMBER((Tasas!C19-Datos!BE19)/Datos!BE19),(Tasas!C19-Datos!BE19)/Datos!BE19," - ")</f>
        <v>5.377572648218213E-2</v>
      </c>
      <c r="J19" s="810">
        <f>IF(ISNUMBER((Tasas!D19-Datos!BF19)/Datos!BF19),(Tasas!D19-Datos!BF19)/Datos!BF19," - ")</f>
        <v>-0.38048143614851077</v>
      </c>
      <c r="K19" s="810">
        <f>IF(ISNUMBER((Tasas!E19-Datos!BG19)/Datos!BG19),(Tasas!E19-Datos!BG19)/Datos!BG19," - ")</f>
        <v>3.224908175342512E-2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DvSt2LpGHb7NLSXPpbPXMmdNk8mrGiBc1fx52XS+v4uQXHyD9E1CWWpo5wSsPSSvcSsTeQnV5hBrFgXsBJxyQ==" saltValue="jA3SW+o32h34IlHbkJpj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CACERES</v>
      </c>
    </row>
    <row r="4" spans="1:7" ht="11.25" customHeight="1" thickBot="1">
      <c r="B4" s="394" t="str">
        <f>Criterios!A11 &amp;"  "&amp;Criterios!B11</f>
        <v>Resumenes por Partidos Judiciales  NAVALMORAL DE LA MATA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2.3333333333333335</v>
      </c>
      <c r="D10" s="447">
        <f>IF(ISNUMBER('Resol  Asuntos'!D10/NºAsuntos!G10),'Resol  Asuntos'!D10/NºAsuntos!G10," - ")</f>
        <v>0</v>
      </c>
      <c r="E10" s="448">
        <f>IF(ISNUMBER((NºAsuntos!C10+NºAsuntos!E10)/NºAsuntos!G10),(NºAsuntos!C10+NºAsuntos!E10)/NºAsuntos!G10," - ")</f>
        <v>3.3333333333333335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1.1254355400696865</v>
      </c>
      <c r="C12" s="446">
        <f>IF(ISNUMBER(NºAsuntos!I12/NºAsuntos!G12),NºAsuntos!I12/NºAsuntos!G12," - ")</f>
        <v>2.6331269349845203</v>
      </c>
      <c r="D12" s="447">
        <f>IF(ISNUMBER('Resol  Asuntos'!D12/NºAsuntos!G12),'Resol  Asuntos'!D12/NºAsuntos!G12," - ")</f>
        <v>0.22136222910216719</v>
      </c>
      <c r="E12" s="448">
        <f>IF(ISNUMBER((NºAsuntos!C12+NºAsuntos!E12)/NºAsuntos!G12),(NºAsuntos!C12+NºAsuntos!E12)/NºAsuntos!G12," - ")</f>
        <v>3.634674922600619</v>
      </c>
      <c r="G12" s="466"/>
    </row>
    <row r="13" spans="1:7" ht="14.25" thickTop="1" thickBot="1">
      <c r="A13" s="851" t="str">
        <f>Datos!A13</f>
        <v>TOTAL</v>
      </c>
      <c r="B13" s="861">
        <f>IF(ISNUMBER(NºAsuntos!G13/NºAsuntos!E13),NºAsuntos!G13/NºAsuntos!E13," - ")</f>
        <v>1.1306620209059233</v>
      </c>
      <c r="C13" s="862">
        <f>IF(ISNUMBER(NºAsuntos!I13/NºAsuntos!G13),NºAsuntos!I13/NºAsuntos!G13," - ")</f>
        <v>2.6317411402157167</v>
      </c>
      <c r="D13" s="863">
        <f>IF(ISNUMBER('Resol  Asuntos'!D13/NºAsuntos!G13),'Resol  Asuntos'!D13/NºAsuntos!G13," - ")</f>
        <v>0.22033898305084745</v>
      </c>
      <c r="E13" s="864">
        <f>IF(ISNUMBER((NºAsuntos!C13+NºAsuntos!E13)/NºAsuntos!G13),(NºAsuntos!C13+NºAsuntos!E13)/NºAsuntos!G13," - ")</f>
        <v>3.6332819722650229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1.0982404692082111</v>
      </c>
      <c r="C16" s="446">
        <f>IF(ISNUMBER(NºAsuntos!I16/NºAsuntos!G16),NºAsuntos!I16/NºAsuntos!G16," - ")</f>
        <v>1.7329773030707609</v>
      </c>
      <c r="D16" s="447">
        <f>IF(ISNUMBER('Resol  Asuntos'!D16/NºAsuntos!G16),'Resol  Asuntos'!D16/NºAsuntos!G16," - ")</f>
        <v>0.11615487316421896</v>
      </c>
      <c r="E16" s="448">
        <f>IF(ISNUMBER((NºAsuntos!C16+NºAsuntos!E16)/NºAsuntos!G16),(NºAsuntos!C16+NºAsuntos!E16)/NºAsuntos!G16," - ")</f>
        <v>2.7863818424566089</v>
      </c>
      <c r="G16" s="466"/>
    </row>
    <row r="17" spans="1:7" ht="13.5" thickBot="1">
      <c r="A17" s="405" t="str">
        <f>Datos!A17</f>
        <v>Jdos. Violencia contra la mujer</v>
      </c>
      <c r="B17" s="445">
        <f>IF(ISNUMBER(NºAsuntos!G17/NºAsuntos!E17),NºAsuntos!G17/NºAsuntos!E17," - ")</f>
        <v>4.5</v>
      </c>
      <c r="C17" s="446">
        <f>IF(ISNUMBER(NºAsuntos!I17/NºAsuntos!G17),NºAsuntos!I17/NºAsuntos!G17," - ")</f>
        <v>1.5555555555555556</v>
      </c>
      <c r="D17" s="447">
        <f>IF(ISNUMBER('Resol  Asuntos'!D17/NºAsuntos!G17),'Resol  Asuntos'!D17/NºAsuntos!G17," - ")</f>
        <v>7.407407407407407E-2</v>
      </c>
      <c r="E17" s="448">
        <f>IF(ISNUMBER((NºAsuntos!C17+NºAsuntos!E17)/NºAsuntos!G17),(NºAsuntos!C17+NºAsuntos!E17)/NºAsuntos!G17," - ")</f>
        <v>2.5555555555555554</v>
      </c>
      <c r="G17" s="466"/>
    </row>
    <row r="18" spans="1:7" ht="14.25" thickTop="1" thickBot="1">
      <c r="A18" s="851" t="str">
        <f>Datos!A18</f>
        <v>TOTAL</v>
      </c>
      <c r="B18" s="861">
        <f>IF(ISNUMBER(NºAsuntos!G18/NºAsuntos!E18),NºAsuntos!G18/NºAsuntos!E18," - ")</f>
        <v>1.1279069767441861</v>
      </c>
      <c r="C18" s="862">
        <f>IF(ISNUMBER(NºAsuntos!I18/NºAsuntos!G18),NºAsuntos!I18/NºAsuntos!G18," - ")</f>
        <v>1.7268041237113403</v>
      </c>
      <c r="D18" s="865">
        <f>IF(ISNUMBER('Resol  Asuntos'!D18/NºAsuntos!G18),'Resol  Asuntos'!D18/NºAsuntos!G18," - ")</f>
        <v>0.11469072164948453</v>
      </c>
      <c r="E18" s="864">
        <f>IF(ISNUMBER((NºAsuntos!C18+NºAsuntos!E18)/NºAsuntos!G18),(NºAsuntos!C18+NºAsuntos!E18)/NºAsuntos!G18," - ")</f>
        <v>2.7783505154639174</v>
      </c>
      <c r="G18" s="466"/>
    </row>
    <row r="19" spans="1:7" ht="15.75" customHeight="1" thickTop="1" thickBot="1">
      <c r="A19" s="796" t="str">
        <f>Datos!A19</f>
        <v>TOTAL JURISDICCIONES</v>
      </c>
      <c r="B19" s="811">
        <f>IF(ISNUMBER(NºAsuntos!G19/NºAsuntos!E19),NºAsuntos!G19/NºAsuntos!E19," - ")</f>
        <v>1.1291600633914423</v>
      </c>
      <c r="C19" s="812">
        <f>IF(ISNUMBER(NºAsuntos!I19/NºAsuntos!G19),NºAsuntos!I19/NºAsuntos!G19," - ")</f>
        <v>2.1389473684210527</v>
      </c>
      <c r="D19" s="813">
        <f>IF(ISNUMBER('Resol  Asuntos'!D19/NºAsuntos!G19),'Resol  Asuntos'!D19/NºAsuntos!G19," - ")</f>
        <v>0.16280701754385965</v>
      </c>
      <c r="E19" s="814">
        <f>IF(ISNUMBER((NºAsuntos!C19+NºAsuntos!E19)/NºAsuntos!G19),(NºAsuntos!C19+NºAsuntos!E19)/NºAsuntos!G19," - ")</f>
        <v>3.1677192982456139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3FacLLAAXLcxWyimHVLUVT4Y9PXUJcR/NZm/DvzIh/nBbjESa6UrBYELUGYtPgHRd4Aea4LaKhqSogrKL7CvQ==" saltValue="SEeLG2TW5j1qwdeL1DgX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CACERES</v>
      </c>
      <c r="N2" s="265" t="str">
        <f>Criterios!A11 &amp;"  "&amp;Criterios!B11</f>
        <v>Resumenes por Partidos Judiciales  NAVALMORAL DE LA MATA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7</v>
      </c>
      <c r="Y10" s="337">
        <f t="shared" ref="Y10:Y12" si="0">SUM(W10:X10)</f>
        <v>10</v>
      </c>
      <c r="Z10" s="338" t="str">
        <f>IF(ISNUMBER(Datos!CC10),Datos!CC10," - ")</f>
        <v xml:space="preserve"> - </v>
      </c>
      <c r="AA10" s="335">
        <f>IF(ISNUMBER(Datos!L10),Datos!L10,"-")</f>
        <v>7</v>
      </c>
      <c r="AB10" s="337">
        <f>IF(ISNUMBER(Datos!R10),Datos!R10," - ")</f>
        <v>12</v>
      </c>
      <c r="AC10" s="337">
        <f t="shared" ref="AC10:AC12" si="1">IF(ISNUMBER(AA10+AB10),AA10+AB10," - ")</f>
        <v>19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7.0000000000000009</v>
      </c>
      <c r="AN10" s="247">
        <f>IF(ISNUMBER('Resol  Asuntos'!D10/NºAsuntos!G10),'Resol  Asuntos'!D10/NºAsuntos!G10," - ")</f>
        <v>0</v>
      </c>
      <c r="AO10" s="248">
        <f>IF(ISNUMBER((NºAsuntos!C10+NºAsuntos!E10)/NºAsuntos!G10),(NºAsuntos!C10+NºAsuntos!E10)/NºAsuntos!G10," - ")</f>
        <v>3.3333333333333335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79</v>
      </c>
      <c r="Y12" s="337">
        <f t="shared" si="0"/>
        <v>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2464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143</v>
      </c>
      <c r="AJ12" s="232" t="str">
        <f>IF(ISNUMBER(Datos!BW12),Datos!BW12," - ")</f>
        <v xml:space="preserve"> - </v>
      </c>
      <c r="AK12" s="231" t="str">
        <f>IF(ISNUMBER(Datos!BX12),Datos!BX12," - ")</f>
        <v xml:space="preserve"> - </v>
      </c>
      <c r="AL12" s="246">
        <f>IF(ISNUMBER(NºAsuntos!G12/NºAsuntos!E12),NºAsuntos!G12/NºAsuntos!E12," - ")</f>
        <v>1.1254355400696865</v>
      </c>
      <c r="AM12" s="263">
        <f>IF(ISNUMBER(((NºAsuntos!I12/NºAsuntos!G12)*11)/factor_trimestre),((NºAsuntos!I12/NºAsuntos!G12)*11)/factor_trimestre," - ")</f>
        <v>7.8993808049535614</v>
      </c>
      <c r="AN12" s="247">
        <f>IF(ISNUMBER('Resol  Asuntos'!D12/NºAsuntos!G12),'Resol  Asuntos'!D12/NºAsuntos!G12," - ")</f>
        <v>0.22136222910216719</v>
      </c>
      <c r="AO12" s="248">
        <f>IF(ISNUMBER((NºAsuntos!C12+NºAsuntos!E12)/NºAsuntos!G12),(NºAsuntos!C12+NºAsuntos!E12)/NºAsuntos!G12," - ")</f>
        <v>3.634674922600619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10</v>
      </c>
      <c r="G13" s="869">
        <f t="shared" si="3"/>
        <v>10</v>
      </c>
      <c r="H13" s="868">
        <f t="shared" si="3"/>
        <v>0</v>
      </c>
      <c r="I13" s="870">
        <f t="shared" si="3"/>
        <v>0</v>
      </c>
      <c r="J13" s="870">
        <f t="shared" si="3"/>
        <v>0</v>
      </c>
      <c r="K13" s="870">
        <f t="shared" si="3"/>
        <v>0</v>
      </c>
      <c r="L13" s="870">
        <f t="shared" si="3"/>
        <v>125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86</v>
      </c>
      <c r="Y13" s="871">
        <f t="shared" si="4"/>
        <v>89</v>
      </c>
      <c r="Z13" s="871">
        <f t="shared" si="4"/>
        <v>0</v>
      </c>
      <c r="AA13" s="871">
        <f t="shared" si="4"/>
        <v>7</v>
      </c>
      <c r="AB13" s="871">
        <f t="shared" si="4"/>
        <v>2476</v>
      </c>
      <c r="AC13" s="871">
        <f t="shared" si="4"/>
        <v>19</v>
      </c>
      <c r="AD13" s="871">
        <f t="shared" si="4"/>
        <v>0</v>
      </c>
      <c r="AE13" s="875">
        <f t="shared" si="4"/>
        <v>0</v>
      </c>
      <c r="AF13" s="868">
        <f t="shared" si="4"/>
        <v>0</v>
      </c>
      <c r="AG13" s="876">
        <f t="shared" si="4"/>
        <v>0</v>
      </c>
      <c r="AH13" s="873">
        <f t="shared" si="4"/>
        <v>0</v>
      </c>
      <c r="AI13" s="868">
        <f t="shared" si="4"/>
        <v>143</v>
      </c>
      <c r="AJ13" s="870">
        <f t="shared" si="4"/>
        <v>0</v>
      </c>
      <c r="AK13" s="873">
        <f>SUBTOTAL(9,AK9:AK12)</f>
        <v>0</v>
      </c>
      <c r="AL13" s="877">
        <f>IF(ISNUMBER(NºAsuntos!G13/NºAsuntos!E13),NºAsuntos!G13/NºAsuntos!E13," - ")</f>
        <v>1.1306620209059233</v>
      </c>
      <c r="AM13" s="877">
        <f>IF(ISNUMBER(((NºAsuntos!I13/NºAsuntos!G13)*11)/factor_trimestre),((NºAsuntos!I13/NºAsuntos!G13)*11)/factor_trimestre," - ")</f>
        <v>7.8952234206471497</v>
      </c>
      <c r="AN13" s="878">
        <f>IF(ISNUMBER('Resol  Asuntos'!D13/NºAsuntos!G13),'Resol  Asuntos'!D13/NºAsuntos!G13," - ")</f>
        <v>0.22033898305084745</v>
      </c>
      <c r="AO13" s="879">
        <f>IF(ISNUMBER((NºAsuntos!C13+NºAsuntos!E13)/NºAsuntos!G13),(NºAsuntos!C13+NºAsuntos!E13)/NºAsuntos!G13," - ")</f>
        <v>3.6332819722650229</v>
      </c>
      <c r="AP13" s="880" t="str">
        <f t="shared" si="2"/>
        <v xml:space="preserve"> - </v>
      </c>
      <c r="AQ13" s="880">
        <f>IF(ISNUMBER((H13-W13+K13)/(F13)),(H13-W13+K13)/(F13)," - ")</f>
        <v>-0.3</v>
      </c>
      <c r="AR13" s="881">
        <f>IF(ISNUMBER((Datos!P13-Datos!Q13)/(Datos!R13-Datos!P13+Datos!Q13)),(Datos!P13-Datos!Q13)/(Datos!R13-Datos!P13+Datos!Q13)," - ")</f>
        <v>1.600328272466147E-2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1365</v>
      </c>
      <c r="G16" s="336">
        <f>IF(ISNUMBER(IF(D_I="SI",Datos!I16,Datos!I16+Datos!AC16)),IF(D_I="SI",Datos!I16,Datos!I16+Datos!AC16)," - ")</f>
        <v>1405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749</v>
      </c>
      <c r="X16" s="229">
        <f>IF(ISNUMBER(Datos!Q16),Datos!Q16," - ")</f>
        <v>19</v>
      </c>
      <c r="Y16" s="337">
        <f t="shared" ref="Y16:Y17" si="7">SUM(W16:X16)</f>
        <v>768</v>
      </c>
      <c r="Z16" s="338" t="str">
        <f>IF(ISNUMBER(Datos!CC16),Datos!CC16," - ")</f>
        <v xml:space="preserve"> - </v>
      </c>
      <c r="AA16" s="335">
        <f>IF(ISNUMBER(IF(D_I="SI",Datos!L16,Datos!L16+Datos!AF16)),IF(D_I="SI",Datos!L16,Datos!L16+Datos!AF16)," - ")</f>
        <v>1298</v>
      </c>
      <c r="AB16" s="337">
        <f>IF(ISNUMBER(Datos!R16),Datos!R16," - ")</f>
        <v>78</v>
      </c>
      <c r="AC16" s="337">
        <f t="shared" si="6"/>
        <v>1376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87</v>
      </c>
      <c r="AJ16" s="234" t="str">
        <f>IF(ISNUMBER(Datos!BW16),Datos!BW16," - ")</f>
        <v xml:space="preserve"> - </v>
      </c>
      <c r="AK16" s="235" t="str">
        <f>IF(ISNUMBER(Datos!BX16),Datos!BX16," - ")</f>
        <v xml:space="preserve"> - </v>
      </c>
      <c r="AL16" s="246">
        <f>IF(ISNUMBER(NºAsuntos!G16/NºAsuntos!E16),NºAsuntos!G16/NºAsuntos!E16," - ")</f>
        <v>1.0982404692082111</v>
      </c>
      <c r="AM16" s="263">
        <f>IF(ISNUMBER(((NºAsuntos!I16/NºAsuntos!G16)*11)/factor_trimestre),((NºAsuntos!I16/NºAsuntos!G16)*11)/factor_trimestre," - ")</f>
        <v>5.1989319092122832</v>
      </c>
      <c r="AN16" s="247">
        <f>IF(ISNUMBER('Resol  Asuntos'!D16/NºAsuntos!G16),'Resol  Asuntos'!D16/NºAsuntos!G16," - ")</f>
        <v>0.11615487316421896</v>
      </c>
      <c r="AO16" s="248">
        <f>IF(ISNUMBER((NºAsuntos!C16+NºAsuntos!E16)/NºAsuntos!G16),(NºAsuntos!C16+NºAsuntos!E16)/NºAsuntos!G16," - ")</f>
        <v>2.7863818424566089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42</v>
      </c>
      <c r="AB17" s="337">
        <f>IF(ISNUMBER(Datos!R17),Datos!R17," - ")</f>
        <v>0</v>
      </c>
      <c r="AC17" s="337">
        <f t="shared" si="6"/>
        <v>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4.5</v>
      </c>
      <c r="AM17" s="263">
        <f>IF(ISNUMBER(((NºAsuntos!I17/NºAsuntos!G17)*11)/factor_trimestre),((NºAsuntos!I17/NºAsuntos!G17)*11)/factor_trimestre," - ")</f>
        <v>4.666666666666667</v>
      </c>
      <c r="AN17" s="247">
        <f>IF(ISNUMBER('Resol  Asuntos'!D17/NºAsuntos!G17),'Resol  Asuntos'!D17/NºAsuntos!G17," - ")</f>
        <v>7.407407407407407E-2</v>
      </c>
      <c r="AO17" s="248">
        <f>IF(ISNUMBER((NºAsuntos!C17+NºAsuntos!E17)/NºAsuntos!G17),(NºAsuntos!C17+NºAsuntos!E17)/NºAsuntos!G17," - ")</f>
        <v>2.5555555555555554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1365</v>
      </c>
      <c r="G18" s="869">
        <f>SUBTOTAL(9,G15:G17)</f>
        <v>1468</v>
      </c>
      <c r="H18" s="868">
        <f t="shared" ref="H18:O18" si="10">SUBTOTAL(9,H14:H17)</f>
        <v>0</v>
      </c>
      <c r="I18" s="870">
        <f t="shared" si="10"/>
        <v>0</v>
      </c>
      <c r="J18" s="870">
        <f t="shared" si="10"/>
        <v>0</v>
      </c>
      <c r="K18" s="870">
        <f t="shared" si="10"/>
        <v>0</v>
      </c>
      <c r="L18" s="870">
        <f t="shared" si="10"/>
        <v>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776</v>
      </c>
      <c r="X18" s="870">
        <f t="shared" si="11"/>
        <v>19</v>
      </c>
      <c r="Y18" s="871">
        <f t="shared" si="11"/>
        <v>795</v>
      </c>
      <c r="Z18" s="871">
        <f t="shared" si="11"/>
        <v>0</v>
      </c>
      <c r="AA18" s="871">
        <f t="shared" si="11"/>
        <v>1340</v>
      </c>
      <c r="AB18" s="871">
        <f t="shared" si="11"/>
        <v>78</v>
      </c>
      <c r="AC18" s="871">
        <f t="shared" si="11"/>
        <v>1418</v>
      </c>
      <c r="AD18" s="871">
        <f t="shared" si="11"/>
        <v>0</v>
      </c>
      <c r="AE18" s="875">
        <f t="shared" si="11"/>
        <v>0</v>
      </c>
      <c r="AF18" s="868">
        <f t="shared" si="11"/>
        <v>0</v>
      </c>
      <c r="AG18" s="876">
        <f t="shared" si="11"/>
        <v>0</v>
      </c>
      <c r="AH18" s="873">
        <f t="shared" si="11"/>
        <v>0</v>
      </c>
      <c r="AI18" s="868">
        <f t="shared" si="11"/>
        <v>89</v>
      </c>
      <c r="AJ18" s="870">
        <f t="shared" si="11"/>
        <v>0</v>
      </c>
      <c r="AK18" s="873">
        <f t="shared" si="11"/>
        <v>0</v>
      </c>
      <c r="AL18" s="877">
        <f>IF(ISNUMBER(NºAsuntos!G18/NºAsuntos!E18),NºAsuntos!G18/NºAsuntos!E18," - ")</f>
        <v>1.1279069767441861</v>
      </c>
      <c r="AM18" s="877">
        <f>IF(ISNUMBER(((NºAsuntos!I18/NºAsuntos!G18)*11)/factor_trimestre),((NºAsuntos!I18/NºAsuntos!G18)*11)/factor_trimestre," - ")</f>
        <v>5.1804123711340218</v>
      </c>
      <c r="AN18" s="878">
        <f>IF(ISNUMBER('Resol  Asuntos'!D18/NºAsuntos!G18),'Resol  Asuntos'!D18/NºAsuntos!G18," - ")</f>
        <v>0.11469072164948453</v>
      </c>
      <c r="AO18" s="879">
        <f>IF(ISNUMBER((NºAsuntos!C18+NºAsuntos!E18)/NºAsuntos!G18),(NºAsuntos!C18+NºAsuntos!E18)/NºAsuntos!G18," - ")</f>
        <v>2.7783505154639174</v>
      </c>
      <c r="AP18" s="880" t="str">
        <f t="shared" si="2"/>
        <v xml:space="preserve"> - </v>
      </c>
      <c r="AQ18" s="880">
        <f>IF(ISNUMBER((H18-W18+K18)/(F18)),(H18-W18+K18)/(F18)," - ")</f>
        <v>-0.56849816849816848</v>
      </c>
      <c r="AR18" s="881">
        <f>IF(ISNUMBER((Datos!P18-Datos!Q18)/(Datos!R18-Datos!P18+Datos!Q18)),(Datos!P18-Datos!Q18)/(Datos!R18-Datos!P18+Datos!Q18)," - ")</f>
        <v>5.4054054054054057E-2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1375</v>
      </c>
      <c r="G19" s="824">
        <f t="shared" si="13"/>
        <v>1478</v>
      </c>
      <c r="H19" s="823">
        <f t="shared" si="13"/>
        <v>0</v>
      </c>
      <c r="I19" s="825">
        <f t="shared" si="13"/>
        <v>0</v>
      </c>
      <c r="J19" s="825">
        <f t="shared" si="13"/>
        <v>0</v>
      </c>
      <c r="K19" s="884">
        <f t="shared" si="13"/>
        <v>0</v>
      </c>
      <c r="L19" s="825">
        <f t="shared" si="13"/>
        <v>148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779</v>
      </c>
      <c r="X19" s="824">
        <f t="shared" si="14"/>
        <v>105</v>
      </c>
      <c r="Y19" s="831">
        <f t="shared" si="14"/>
        <v>884</v>
      </c>
      <c r="Z19" s="831">
        <f t="shared" si="14"/>
        <v>0</v>
      </c>
      <c r="AA19" s="831">
        <f t="shared" si="14"/>
        <v>1347</v>
      </c>
      <c r="AB19" s="831">
        <f t="shared" si="14"/>
        <v>2554</v>
      </c>
      <c r="AC19" s="831">
        <f t="shared" si="14"/>
        <v>1437</v>
      </c>
      <c r="AD19" s="831">
        <f t="shared" si="14"/>
        <v>0</v>
      </c>
      <c r="AE19" s="833">
        <f t="shared" si="14"/>
        <v>0</v>
      </c>
      <c r="AF19" s="834">
        <f t="shared" si="14"/>
        <v>0</v>
      </c>
      <c r="AG19" s="835">
        <f t="shared" si="14"/>
        <v>0</v>
      </c>
      <c r="AH19" s="833">
        <f t="shared" si="14"/>
        <v>0</v>
      </c>
      <c r="AI19" s="823">
        <f t="shared" si="14"/>
        <v>232</v>
      </c>
      <c r="AJ19" s="823">
        <f t="shared" si="14"/>
        <v>0</v>
      </c>
      <c r="AK19" s="833">
        <f t="shared" si="14"/>
        <v>0</v>
      </c>
      <c r="AL19" s="887">
        <f>IF(ISNUMBER(NºAsuntos!G19/NºAsuntos!E19),NºAsuntos!G19/NºAsuntos!E19," - ")</f>
        <v>1.1291600633914423</v>
      </c>
      <c r="AM19" s="888">
        <f>IF(ISNUMBER(((NºAsuntos!I19/NºAsuntos!G19)*11)/factor_trimestre),((NºAsuntos!I19/NºAsuntos!G19)*11)/factor_trimestre," - ")</f>
        <v>6.4168421052631581</v>
      </c>
      <c r="AN19" s="888">
        <f>IF(ISNUMBER('Resol  Asuntos'!D19/NºAsuntos!G19),'Resol  Asuntos'!D19/NºAsuntos!G19," - ")</f>
        <v>0.16280701754385965</v>
      </c>
      <c r="AO19" s="889">
        <f>IF(ISNUMBER((NºAsuntos!C19+NºAsuntos!E19)/NºAsuntos!G19),(NºAsuntos!C19+NºAsuntos!E19)/NºAsuntos!G19," - ")</f>
        <v>3.1677192982456139</v>
      </c>
      <c r="AP19" s="890" t="str">
        <f t="shared" si="2"/>
        <v xml:space="preserve"> - </v>
      </c>
      <c r="AQ19" s="891">
        <f>IF(OR(ISNUMBER(FIND("01",Criterios!A8,1)),ISNUMBER(FIND("02",Criterios!A8,1)),ISNUMBER(FIND("03",Criterios!A8,1)),ISNUMBER(FIND("04",Criterios!A8,1))),(I19-W19+K19)/(F19-K19),(H19-W19+K19)/(F19-K19))</f>
        <v>-0.56654545454545457</v>
      </c>
      <c r="AR19" s="892">
        <f>IF(ISNUMBER((Datos!P19-Datos!Q19)/(Datos!R19-Datos!P19+Datos!Q19)),(Datos!P19-Datos!Q19)/(Datos!R19-Datos!P19+Datos!Q19)," - ")</f>
        <v>1.7124651533253685E-2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591.20000000000005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782.30961475194295</v>
      </c>
      <c r="G21" s="256">
        <f>IF(ISNUMBER(STDEV(G8:G18)),STDEV(G8:G18),"-")</f>
        <v>772.27436834327216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411.84074592007039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64.04581693340063</v>
      </c>
      <c r="AJ21" s="255">
        <f t="shared" si="18"/>
        <v>0</v>
      </c>
      <c r="AK21" s="257">
        <f t="shared" si="18"/>
        <v>0</v>
      </c>
      <c r="AL21" s="252">
        <f t="shared" si="18"/>
        <v>1.5113870255388986</v>
      </c>
      <c r="AM21" s="253">
        <f t="shared" si="18"/>
        <v>1.4646560665243211</v>
      </c>
      <c r="AN21" s="253">
        <f t="shared" si="18"/>
        <v>8.5762771915107699E-2</v>
      </c>
      <c r="AO21" s="254">
        <f t="shared" si="18"/>
        <v>0.47338828274882783</v>
      </c>
      <c r="AP21" s="294" t="str">
        <f t="shared" si="18"/>
        <v>-</v>
      </c>
      <c r="AQ21" s="295">
        <f t="shared" si="18"/>
        <v>0.18985687568122311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u3Qu8vTj8RB87f19PH54MW0IzqBEZlTOiplAloYo6L7PrmfBLk8sw+PrwR39zzojf8yT99kYBoGQETTZ8aMmQ==" saltValue="HHQxKDWHAB/6k+KK8RiB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CACERES</v>
      </c>
      <c r="E3" s="266"/>
    </row>
    <row r="4" spans="2:20" ht="17.25" customHeight="1" thickBot="1">
      <c r="D4" s="265" t="str">
        <f>Criterios!A11 &amp;"  "&amp;Criterios!B11</f>
        <v>Resumenes por Partidos Judiciales  NAVALMORAL DE LA MATA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-1</v>
      </c>
      <c r="F10" s="351">
        <f>IF(ISNUMBER((Datos!K10-Datos!U10)/Datos!U10),(Datos!K10-Datos!U10)/Datos!U10," - ")</f>
        <v>-0.72727272727272729</v>
      </c>
      <c r="G10" s="352">
        <f>IF(ISNUMBER((Datos!L10-Datos!V10)/Datos!V10),(Datos!L10-Datos!V10)/Datos!V10," - ")</f>
        <v>-0.65</v>
      </c>
      <c r="H10" s="233">
        <f>IF(ISNUMBER((Datos!M10-Datos!W10)/Datos!W10),(Datos!M10-Datos!W10)/Datos!W10," - ")</f>
        <v>-1</v>
      </c>
      <c r="I10" s="353">
        <f>IF(ISNUMBER((Tasas!C10-Datos!BE10)/Datos!BE10),(Tasas!C10-Datos!BE10)/Datos!BE10," - ")</f>
        <v>0.28333333333333344</v>
      </c>
      <c r="J10" s="352">
        <f>IF(ISNUMBER((Tasas!D10-Datos!BF10)/Datos!BF10),(Tasas!D10-Datos!BF10)/Datos!BF10," - ")</f>
        <v>-1</v>
      </c>
      <c r="K10" s="354">
        <f>IF(ISNUMBER((Tasas!E10-Datos!BG10)/Datos!BG10),(Tasas!E10-Datos!BG10)/Datos!BG10," - ")</f>
        <v>0.18279569892473116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0.13492063492063491</v>
      </c>
      <c r="I12" s="353">
        <f>IF(ISNUMBER((Tasas!C12-Datos!BE12)/Datos!BE12),(Tasas!C12-Datos!BE12)/Datos!BE12," - ")</f>
        <v>4.2932012037255704E-2</v>
      </c>
      <c r="J12" s="352">
        <f>IF(ISNUMBER((Tasas!D12-Datos!BF12)/Datos!BF12),(Tasas!D12-Datos!BF12)/Datos!BF12," - ")</f>
        <v>-0.50281340606418001</v>
      </c>
      <c r="K12" s="354">
        <f>IF(ISNUMBER((Tasas!E12-Datos!BG12)/Datos!BG12),(Tasas!E12-Datos!BG12)/Datos!BG12," - ")</f>
        <v>3.1190980547343476E-2</v>
      </c>
      <c r="M12" t="e">
        <f>IF(Monitorios="SI",Datos!CE12,0)</f>
        <v>#REF!</v>
      </c>
      <c r="N12" t="e">
        <f>IF(Monitorios="SI",Datos!CF12,0)</f>
        <v>#REF!</v>
      </c>
      <c r="O12" t="e">
        <f>IF(Monitorios="SI",Datos!CG12,0)</f>
        <v>#REF!</v>
      </c>
      <c r="P12" t="e">
        <f>IF(Monitorios="SI",Datos!CH12,0)</f>
        <v>#REF!</v>
      </c>
      <c r="Q12">
        <f>IF(J_V="SI",0,Datos!AG12)</f>
        <v>39</v>
      </c>
      <c r="R12">
        <f>IF(J_V="SI",0,Datos!AH12)</f>
        <v>35</v>
      </c>
      <c r="S12">
        <f>IF(J_V="SI",0,Datos!AI12)</f>
        <v>32</v>
      </c>
      <c r="T12">
        <f>IF(J_V="SI",0,Datos!AJ12)</f>
        <v>42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0.12598425196850394</v>
      </c>
      <c r="I13" s="360">
        <f>IF(ISNUMBER((Tasas!C13-Datos!BE13)/Datos!BE13),(Tasas!C13-Datos!BE13)/Datos!BE13," - ")</f>
        <v>4.7974215254981682E-2</v>
      </c>
      <c r="J13" s="358">
        <f>IF(ISNUMBER((Tasas!D13-Datos!BF13)/Datos!BF13),(Tasas!D13-Datos!BF13)/Datos!BF13," - ")</f>
        <v>-0.49748777383265225</v>
      </c>
      <c r="K13" s="361">
        <f>IF(ISNUMBER((Tasas!E13-Datos!BG13)/Datos!BG13),(Tasas!E13-Datos!BG13)/Datos!BG13," - ")</f>
        <v>3.4750097727995137E-2</v>
      </c>
      <c r="M13" t="e">
        <f>IF(Monitorios="SI",Datos!CE13,0)</f>
        <v>#REF!</v>
      </c>
      <c r="N13" t="e">
        <f>IF(Monitorios="SI",Datos!CF13,0)</f>
        <v>#REF!</v>
      </c>
      <c r="O13" t="e">
        <f>IF(Monitorios="SI",Datos!CG13,0)</f>
        <v>#REF!</v>
      </c>
      <c r="P13" t="e">
        <f>IF(Monitorios="SI",Datos!CH13,0)</f>
        <v>#REF!</v>
      </c>
      <c r="Q13">
        <f>IF(J_V="SI",0,Datos!AG13)</f>
        <v>39</v>
      </c>
      <c r="R13">
        <f>IF(J_V="SI",0,Datos!AH13)</f>
        <v>35</v>
      </c>
      <c r="S13">
        <f>IF(J_V="SI",0,Datos!AI13)</f>
        <v>32</v>
      </c>
      <c r="T13">
        <f>IF(J_V="SI",0,Datos!AJ13)</f>
        <v>42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0.29612546125461253</v>
      </c>
      <c r="E16" s="351">
        <f>IF(ISNUMBER(
   IF(D_I="SI",(Datos!J16-Datos!T16)/Datos!T16,(Datos!J16+Datos!AD16-(Datos!T16+Datos!AL16))/(Datos!T16+Datos!AL16))
     ),IF(D_I="SI",(Datos!J16-Datos!T16)/Datos!T16,(Datos!J16+Datos!AD16-(Datos!T16+Datos!AL16))/(Datos!T16+Datos!AL16))," - ")</f>
        <v>-7.2108843537414966E-2</v>
      </c>
      <c r="F16" s="351">
        <f>IF(ISNUMBER(
   IF(D_I="SI",(Datos!K16-Datos!U16)/Datos!U16,(Datos!K16+Datos!AE16-(Datos!U16+Datos!AM16))/(Datos!U16+Datos!AM16))
     ),IF(D_I="SI",(Datos!K16-Datos!U16)/Datos!U16,(Datos!K16+Datos!AE16-(Datos!U16+Datos!AM16))/(Datos!U16+Datos!AM16))," - ")</f>
        <v>0.11958146487294469</v>
      </c>
      <c r="G16" s="352">
        <f>IF(ISNUMBER(
   IF(D_I="SI",(Datos!L16-Datos!V16)/Datos!V16,(Datos!L16+Datos!AF16-(Datos!V16+Datos!AN16))/(Datos!V16+Datos!AN16))
     ),IF(D_I="SI",(Datos!L16-Datos!V16)/Datos!V16,(Datos!L16+Datos!AF16-(Datos!V16+Datos!AN16))/(Datos!V16+Datos!AN16))," - ")</f>
        <v>0.18107370336669701</v>
      </c>
      <c r="H16" s="233">
        <f>IF(ISNUMBER((Datos!M16-Datos!W16)/Datos!W16),(Datos!M16-Datos!W16)/Datos!W16," - ")</f>
        <v>0</v>
      </c>
      <c r="I16" s="353">
        <f>IF(ISNUMBER((Tasas!C16-Datos!BE16)/Datos!BE16),(Tasas!C16-Datos!BE16)/Datos!BE16," - ")</f>
        <v>5.4924309148625207E-2</v>
      </c>
      <c r="J16" s="352">
        <f>IF(ISNUMBER((Tasas!D16-Datos!BF16)/Datos!BF16),(Tasas!D16-Datos!BF16)/Datos!BF16," - ")</f>
        <v>-0.10680907877169546</v>
      </c>
      <c r="K16" s="354">
        <f>IF(ISNUMBER((Tasas!E16-Datos!BG16)/Datos!BG16),(Tasas!E16-Datos!BG16)/Datos!BG16," - ")</f>
        <v>2.478804431196889E-2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-0.4375</v>
      </c>
      <c r="E17" s="351">
        <f>IF(ISNUMBER(
   IF(D_I="SI",(Datos!J17-Datos!T17)/Datos!T17,(Datos!J17+Datos!AD17-(Datos!T17+Datos!AL17))/(Datos!T17+Datos!AL17))
     ),IF(D_I="SI",(Datos!J17-Datos!T17)/Datos!T17,(Datos!J17+Datos!AD17-(Datos!T17+Datos!AL17))/(Datos!T17+Datos!AL17))," - ")</f>
        <v>-0.9</v>
      </c>
      <c r="F17" s="351">
        <f>IF(ISNUMBER(
   IF(D_I="SI",(Datos!K17-Datos!U17)/Datos!U17,(Datos!K17+Datos!AE17-(Datos!U17+Datos!AM17))/(Datos!U17+Datos!AM17))
     ),IF(D_I="SI",(Datos!K17-Datos!U17)/Datos!U17,(Datos!K17+Datos!AE17-(Datos!U17+Datos!AM17))/(Datos!U17+Datos!AM17))," - ")</f>
        <v>-0.5714285714285714</v>
      </c>
      <c r="G17" s="352">
        <f>IF(ISNUMBER(
   IF(D_I="SI",(Datos!L17-Datos!V17)/Datos!V17,(Datos!L17+Datos!AF17-(Datos!V17+Datos!AN17))/(Datos!V17+Datos!AN17))
     ),IF(D_I="SI",(Datos!L17-Datos!V17)/Datos!V17,(Datos!L17+Datos!AF17-(Datos!V17+Datos!AN17))/(Datos!V17+Datos!AN17))," - ")</f>
        <v>-0.61467889908256879</v>
      </c>
      <c r="H17" s="233">
        <f>IF(ISNUMBER((Datos!M17-Datos!W17)/Datos!W17),(Datos!M17-Datos!W17)/Datos!W17," - ")</f>
        <v>-0.5</v>
      </c>
      <c r="I17" s="353">
        <f>IF(ISNUMBER((Tasas!C17-Datos!BE17)/Datos!BE17),(Tasas!C17-Datos!BE17)/Datos!BE17," - ")</f>
        <v>-0.10091743119266057</v>
      </c>
      <c r="J17" s="352">
        <f>IF(ISNUMBER((Tasas!D17-Datos!BF17)/Datos!BF17),(Tasas!D17-Datos!BF17)/Datos!BF17," - ")</f>
        <v>0.16666666666666666</v>
      </c>
      <c r="K17" s="354">
        <f>IF(ISNUMBER((Tasas!E17-Datos!BG17)/Datos!BG17),(Tasas!E17-Datos!BG17)/Datos!BG17," - ")</f>
        <v>-6.3953488372093123E-2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0.22742474916387959</v>
      </c>
      <c r="E18" s="357">
        <f>IF(ISNUMBER(
   IF(D_I="SI",(Datos!J18-Datos!T18)/Datos!T18,(Datos!J18+Datos!AD18-(Datos!T18+Datos!AL18))/(Datos!T18+Datos!AL18))
     ),IF(D_I="SI",(Datos!J18-Datos!T18)/Datos!T18,(Datos!J18+Datos!AD18-(Datos!T18+Datos!AL18))/(Datos!T18+Datos!AL18))," - ")</f>
        <v>-0.13459119496855346</v>
      </c>
      <c r="F18" s="357">
        <f>IF(ISNUMBER(
   IF(D_I="SI",(Datos!K18-Datos!U18)/Datos!U18,(Datos!K18+Datos!AE18-(Datos!U18+Datos!AM18))/(Datos!U18+Datos!AM18))
     ),IF(D_I="SI",(Datos!K18-Datos!U18)/Datos!U18,(Datos!K18+Datos!AE18-(Datos!U18+Datos!AM18))/(Datos!U18+Datos!AM18))," - ")</f>
        <v>6.0109289617486336E-2</v>
      </c>
      <c r="G18" s="358">
        <f>IF(ISNUMBER(
   IF(D_I="SI",(Datos!L18-Datos!V18)/Datos!V18,(Datos!L18+Datos!AF18-(Datos!V18+Datos!AN18))/(Datos!V18+Datos!AN18))
     ),IF(D_I="SI",(Datos!L18-Datos!V18)/Datos!V18,(Datos!L18+Datos!AF18-(Datos!V18+Datos!AN18))/(Datos!V18+Datos!AN18))," - ")</f>
        <v>0.10927152317880795</v>
      </c>
      <c r="H18" s="359">
        <f>IF(ISNUMBER((Datos!M18-Datos!W18)/Datos!W18),(Datos!M18-Datos!W18)/Datos!W18," - ")</f>
        <v>-2.197802197802198E-2</v>
      </c>
      <c r="I18" s="360">
        <f>IF(ISNUMBER((Tasas!C18-Datos!BE18)/Datos!BE18),(Tasas!C18-Datos!BE18)/Datos!BE18," - ")</f>
        <v>4.6374684235679677E-2</v>
      </c>
      <c r="J18" s="358">
        <f>IF(ISNUMBER((Tasas!D18-Datos!BF18)/Datos!BF18),(Tasas!D18-Datos!BF18)/Datos!BF18," - ")</f>
        <v>-7.7432876401948597E-2</v>
      </c>
      <c r="K18" s="361">
        <f>IF(ISNUMBER((Tasas!E18-Datos!BG18)/Datos!BG18),(Tasas!E18-Datos!BG18)/Datos!BG18," - ")</f>
        <v>2.1472916785327725E-2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0.27329678935003915</v>
      </c>
      <c r="E19" s="366">
        <f>IF(ISNUMBER(
   IF(J_V="SI",(Datos!J19-Datos!T19)/Datos!T19,(Datos!J19+Datos!Z19-(Datos!T19+Datos!AH19))/(Datos!T19+Datos!AH19))
     ),IF(J_V="SI",(Datos!J19-Datos!T19)/Datos!T19,(Datos!J19+Datos!Z19-(Datos!T19+Datos!AH19))/(Datos!T19+Datos!AH19))," - ")</f>
        <v>-0.13738892686261106</v>
      </c>
      <c r="F19" s="366">
        <f>IF(ISNUMBER(
   IF(J_V="SI",(Datos!K19-Datos!U19)/Datos!U19,(Datos!K19+Datos!AA19-(Datos!U19+Datos!AI19))/(Datos!U19+Datos!AI19))
     ),IF(J_V="SI",(Datos!K19-Datos!U19)/Datos!U19,(Datos!K19+Datos!AA19-(Datos!U19+Datos!AI19))/(Datos!U19+Datos!AI19))," - ")</f>
        <v>8.8617265087853322E-2</v>
      </c>
      <c r="G19" s="367">
        <f>IF(ISNUMBER(
   IF(J_V="SI",(Datos!L19-Datos!V19)/Datos!V19,(Datos!L19+Datos!AB19-(Datos!V19+Datos!AJ19))/(Datos!V19+Datos!AJ19))
     ),IF(J_V="SI",(Datos!L19-Datos!V19)/Datos!V19,(Datos!L19+Datos!AB19-(Datos!V19+Datos!AJ19))/(Datos!V19+Datos!AJ19))," - ")</f>
        <v>0.14715844937899888</v>
      </c>
      <c r="H19" s="368">
        <f>IF(ISNUMBER((Datos!M19-Datos!W19)/Datos!W19),(Datos!M19-Datos!W19)/Datos!W19," - ")</f>
        <v>6.4220183486238536E-2</v>
      </c>
      <c r="I19" s="365">
        <f>IF(ISNUMBER((Tasas!C19-Datos!BE19)/Datos!BE19),(Tasas!C19-Datos!BE19)/Datos!BE19," - ")</f>
        <v>5.377572648218213E-2</v>
      </c>
      <c r="J19" s="366">
        <f>IF(ISNUMBER((Tasas!D19-Datos!BF19)/Datos!BF19),(Tasas!D19-Datos!BF19)/Datos!BF19," - ")</f>
        <v>-0.38048143614851077</v>
      </c>
      <c r="K19" s="367">
        <f>IF(ISNUMBER((Tasas!E19-Datos!BG19)/Datos!BG19),(Tasas!E19-Datos!BG19)/Datos!BG19," - ")</f>
        <v>3.224908175342512E-2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0.42346977391618196</v>
      </c>
      <c r="E21" s="281">
        <f t="shared" si="1"/>
        <v>0.49117824735327476</v>
      </c>
      <c r="F21" s="281">
        <f t="shared" si="1"/>
        <v>0.43217393720789132</v>
      </c>
      <c r="G21" s="282">
        <f t="shared" si="1"/>
        <v>0.4500839086386062</v>
      </c>
      <c r="H21" s="288">
        <f t="shared" si="1"/>
        <v>0.451554589002858</v>
      </c>
      <c r="I21" s="280">
        <f t="shared" si="1"/>
        <v>0.12359928436670592</v>
      </c>
      <c r="J21" s="281">
        <f t="shared" si="1"/>
        <v>0.41637954806680255</v>
      </c>
      <c r="K21" s="282">
        <f t="shared" si="1"/>
        <v>7.9829052988800303E-2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bIcZT+uzdysRW7AMKJV815ONRQb0VTPepQ3eO4QvRoanvjGj0G/wa+fGdNqdHlzni+GgOGMfJ0hI4/O0SSArg==" saltValue="6GBDA6Dtmdd/7WTjInXLE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